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10" tabRatio="918" activeTab="8"/>
  </bookViews>
  <sheets>
    <sheet name="СВОД ДЦП" sheetId="1" r:id="rId1"/>
    <sheet name="522 51 00" sheetId="2" r:id="rId2"/>
    <sheet name="522 52 00" sheetId="3" r:id="rId3"/>
    <sheet name="522 55 00" sheetId="4" r:id="rId4"/>
    <sheet name="522 58 00" sheetId="5" r:id="rId5"/>
    <sheet name="522 59 00" sheetId="6" r:id="rId6"/>
    <sheet name="522 60 00" sheetId="7" r:id="rId7"/>
    <sheet name="522 61 00" sheetId="8" r:id="rId8"/>
    <sheet name="522 66 00" sheetId="9" r:id="rId9"/>
  </sheets>
  <definedNames>
    <definedName name="Z_12D0FE2B_96F8_4776_BAA0_3C4B314DC167_.wvu.PrintTitles" localSheetId="7" hidden="1">'522 61 00'!$5:$7</definedName>
    <definedName name="Z_2B69C794_F1CA_4532_9ED6_3F648259398F_.wvu.Rows" localSheetId="0" hidden="1">'СВОД ДЦП'!#REF!</definedName>
    <definedName name="Z_74892229_D01D_4FD5_A132_182EE8F8EB4C_.wvu.Rows" localSheetId="0" hidden="1">'СВОД ДЦП'!#REF!</definedName>
    <definedName name="Z_81BACF0E_D914_4E7A_BE07_0CE8E3669C33_.wvu.PrintTitles" localSheetId="7" hidden="1">'522 61 00'!$5:$7</definedName>
    <definedName name="Z_D8DDEF29_F092_4DAF_8196_5432A87AD5CC_.wvu.PrintTitles" localSheetId="7" hidden="1">'522 61 00'!$5:$7</definedName>
    <definedName name="_xlnm.Print_Titles" localSheetId="2">'522 52 00'!$5:$7</definedName>
    <definedName name="_xlnm.Print_Titles" localSheetId="7">'522 61 00'!$5:$7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H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ЦП 1001101</t>
        </r>
      </text>
    </comment>
  </commentList>
</comments>
</file>

<file path=xl/sharedStrings.xml><?xml version="1.0" encoding="utf-8"?>
<sst xmlns="http://schemas.openxmlformats.org/spreadsheetml/2006/main" count="1939" uniqueCount="371">
  <si>
    <t>Долгосрочная целевая программа "Поддержка сельского потребительского рынка на территории  Ненецкого автономного округа на 2011 - 2015 годы"</t>
  </si>
  <si>
    <t>522 60 00</t>
  </si>
  <si>
    <t>006</t>
  </si>
  <si>
    <t>Долгосрочная целевая программа "Формирование и регулирование рынка сельскохозяйственной продукции, сырья и продовольствия в Ненецком автономном округе на 2011 - 2015 годы"</t>
  </si>
  <si>
    <t>522 61 00</t>
  </si>
  <si>
    <t>Национальная экономика</t>
  </si>
  <si>
    <t>Другие вопросы в области национальной экономики</t>
  </si>
  <si>
    <t>024</t>
  </si>
  <si>
    <t>Сельское хозяйство и рыболовство</t>
  </si>
  <si>
    <t>Амбулаторная помощь</t>
  </si>
  <si>
    <t>Жилищное хозяйство</t>
  </si>
  <si>
    <t>Другие вопросы в области жилищно-коммунального хозяйства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</si>
  <si>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</si>
  <si>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</si>
  <si>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</si>
  <si>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% освоения всего</t>
  </si>
  <si>
    <t>Внебюджетные источники</t>
  </si>
  <si>
    <t>% освоения   Всего</t>
  </si>
  <si>
    <t xml:space="preserve">% освоения Всего </t>
  </si>
  <si>
    <t>% освоения Всего</t>
  </si>
  <si>
    <t>Долгосрочная целевая программа "Развитие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2010 - 2015 годы"</t>
  </si>
  <si>
    <t>13</t>
  </si>
  <si>
    <t>Управление государственного имущества Ненецкого автономного округа</t>
  </si>
  <si>
    <t xml:space="preserve">Фонд софинансирования </t>
  </si>
  <si>
    <t>План на год</t>
  </si>
  <si>
    <t>Исполнено</t>
  </si>
  <si>
    <t>Освоено</t>
  </si>
  <si>
    <t>в том числе:</t>
  </si>
  <si>
    <t>Всего на год</t>
  </si>
  <si>
    <t>Бюджет субъекта РФ</t>
  </si>
  <si>
    <t>Бюджет МО</t>
  </si>
  <si>
    <t>Реализация долгосрочной целевой программы</t>
  </si>
  <si>
    <t>(тыс. рублей)</t>
  </si>
  <si>
    <t>Ненецкого автономного округа "Жилище" на 2011 - 2022 годы</t>
  </si>
  <si>
    <t>Всего по Программе</t>
  </si>
  <si>
    <t xml:space="preserve">МО"Муниципальный район "Заполярный район" </t>
  </si>
  <si>
    <t>Внебюджетные</t>
  </si>
  <si>
    <t>650</t>
  </si>
  <si>
    <t>"Обеспечение населения Ненецкого автономного округа чистой водой"</t>
  </si>
  <si>
    <t>Лимиты 2012 года по непереходящим мероприятиям:</t>
  </si>
  <si>
    <t>Привязка проектной документации объекта «Детский сад на 100 мест в с. Несь» для разработки проектной документации объекта «Детский сад на 100 мест в п. Хорей-Вер»</t>
  </si>
  <si>
    <t>Строительство сооружения с универсальным игровым залом в с. Нижняя Пёша</t>
  </si>
  <si>
    <t>Строительство сооружения с универсальным игровым залом в с. Несь</t>
  </si>
  <si>
    <t>Строительство сооружения с универсальным игровым залом в п. Амдерма</t>
  </si>
  <si>
    <t>Приобретение специализированной техники для коммунальных нужд</t>
  </si>
  <si>
    <t>Лимиты 2011 года по непереходящему контракту:</t>
  </si>
  <si>
    <t>Разработка ПСД объекта "Школа на 170 мест в п. Нельмин-Нос"</t>
  </si>
  <si>
    <t>МО"Муниципальный район "Заполярный район" (см. Прил. 12)</t>
  </si>
  <si>
    <t>МО "Городское поселение "Рабочий посёлок Искателей" (см. Прил. 12)</t>
  </si>
  <si>
    <t>КУ НАО "Централизованный стройзаказчик " (см. Прил. 12)</t>
  </si>
  <si>
    <t>МО "Городской округ "Город Нарьян-Мар" (см. Прил. 12)</t>
  </si>
  <si>
    <t>за счет остатков средств  2011г.</t>
  </si>
  <si>
    <t>и повышение энергоэффективности региональной экономики на 2010 - 2015 годы"</t>
  </si>
  <si>
    <t>"Развитие энергетического комплекса Ненецкого автономного округа, обеспечение энергосбережения</t>
  </si>
  <si>
    <t>"Поддержка сельского потребительского рынка на территории  Ненецкого автономного округа на 2011 - 2015 годы"</t>
  </si>
  <si>
    <t>подпрограмма "Государственная поддержка граждан, выезжающих из НАО"</t>
  </si>
  <si>
    <t>522 51 06</t>
  </si>
  <si>
    <t>523 51 06</t>
  </si>
  <si>
    <t>Субсидии юридическим лицам</t>
  </si>
  <si>
    <t>Дорожное хозяйство (дорожные фонды)</t>
  </si>
  <si>
    <t>Обеспечение функций казёнными учреждениями Ненецкого автономного округа</t>
  </si>
  <si>
    <t>Казённое учреждение Ненецкого автономного округа "Централизованный стройзаказчик"</t>
  </si>
  <si>
    <t>МО "Городское поселение "Рабочий посёлок Искателей" Ненецкого автономного округа</t>
  </si>
  <si>
    <t>МО "Муниципальный район "Заполярный район"</t>
  </si>
  <si>
    <t>Управление по агропромышленному комплексу и ветеринарии Ненецкого автономного округа</t>
  </si>
  <si>
    <t>Всего</t>
  </si>
  <si>
    <t>% финанс-я ОБ</t>
  </si>
  <si>
    <t xml:space="preserve"> Лимиты 2012 года по непереходящим мероприятиям: </t>
  </si>
  <si>
    <t>Строительство ДЭС c разработкой ПСД в д. Кия</t>
  </si>
  <si>
    <t xml:space="preserve"> Разработка ПСД на реконструкцию ЛЭП в д. Макарово</t>
  </si>
  <si>
    <t>Реконструкция ДЭС в п. Бугрино</t>
  </si>
  <si>
    <t>Реконструкция тепловых сетей в п. Каратайка</t>
  </si>
  <si>
    <t>Разработка ПСД на реконструкцию тепличного комбината в г. Нарьян-Мар</t>
  </si>
  <si>
    <t>Строительство фермы на 600 голов в п. Факел</t>
  </si>
  <si>
    <t>Строительство коридора для тепличного комбината в г.Нарьян-Маре, с разработкой проектной документации</t>
  </si>
  <si>
    <t>Разработка ПСД на строительство фермы на 400 голов, в том числе 200 коров в с. Коткино</t>
  </si>
  <si>
    <t>Строительство объекта "Рыбоприёмный пункт в с.Несь Ненецкого автономного округа"</t>
  </si>
  <si>
    <t>Строительство фермы  на 50 голов в с.Ома</t>
  </si>
  <si>
    <t>Разработка проектной документации строительства рыбоводного завода для воспроизводства и восполнения запасов сиговых видов рыб на р. Куя в районе о. Харитоново</t>
  </si>
  <si>
    <r>
      <t xml:space="preserve">Бюджетные инвестиции в форме капитальных вложений в основные средства ОАО «Мясопродукты» (реконструкция)                                                                                                                 </t>
    </r>
    <r>
      <rPr>
        <sz val="10"/>
        <color indexed="12"/>
        <rFont val="Times New Roman"/>
        <family val="1"/>
      </rPr>
      <t xml:space="preserve"> за счёт средств 2012 года</t>
    </r>
  </si>
  <si>
    <t>Бюджетные инвестиции в форме капитальных вложений в основные средства ОАО «Мясопродукты» (приобретение основных средств)</t>
  </si>
  <si>
    <t>Бюджетные инвестиции в форме капитальных вложений в основные средства ОАО «Вита»</t>
  </si>
  <si>
    <t xml:space="preserve">МО "Городской округ "Город Нарьян-Мар" </t>
  </si>
  <si>
    <t>Субсидии на иные цели в том числе:</t>
  </si>
  <si>
    <t>Поставка и монтаж морозильной камеры шоковой заморозки для убойного пункта с производительностью до 150 голов в смену в п. Красное</t>
  </si>
  <si>
    <t>Средства ФБ</t>
  </si>
  <si>
    <t>Бюджетные инвестиции иным юридическим лицам</t>
  </si>
  <si>
    <t>456</t>
  </si>
  <si>
    <t>816</t>
  </si>
  <si>
    <t>Поставка вездехода (снегоболотохода) в п. Индига</t>
  </si>
  <si>
    <t>Поставка катера класса "Река-море" в с. Ома</t>
  </si>
  <si>
    <t>Поставка гусеничного трактора ДТ-75 (с бульдозерным оборудованием типа ДЗ-42) в с. Ома</t>
  </si>
  <si>
    <t>Поставка колёсного трактора МТЗ-82 в с. Ома</t>
  </si>
  <si>
    <t>Поставка 2-х косилок КРН (роторная навесная) в с. Ома</t>
  </si>
  <si>
    <t>Поставка и монтаж холодильной камеры, объёмом не менее 140 м. куб. в п. Харута</t>
  </si>
  <si>
    <t>(610613) Межевание земельных участков под строительство рыбоводного завода для воспроизводства и восполнения запасов сиговых видов рыб на р. Куя в районе о. Харитоново</t>
  </si>
  <si>
    <t>(610614) Работа по выдаче технических условий на газоснабжение объекта "Рыбоводный завод для воспроизводства и восполнения запасов сиговых видов рыб на р. Куя в районе о. Харитоново"</t>
  </si>
  <si>
    <t>Строительство участка ЛЭП с разработкой ПСД МО "Колгуевский с/с" НАО</t>
  </si>
  <si>
    <t>Разработка проектов планировки территории и проектов межевания земельных участков, планируемых к предоставлению многодетным семьям под жилищное строительство</t>
  </si>
  <si>
    <t>Разработка проектов по обеспечению инженерной инфраструктурой земельных участков, планируемых к предоставлению многодетным семьям под жилищное строительство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</si>
  <si>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жилищное строительство</t>
  </si>
  <si>
    <t>Инженерные изыскания территории застройки в районе п. Лесозавод в г. Нарьян-Маре</t>
  </si>
  <si>
    <t>Подготовка земельного участка для строительства 2-х квартирного жилого дома  №1  (МО «Андегский сельсовет»)</t>
  </si>
  <si>
    <t>Подготовка земельного участка для строительства 2-х квартирного жилого дома  №2  (МО «Андегский сельсовет»)</t>
  </si>
  <si>
    <t>Подготовка земельного участка для строительства 2-х квартирного жилого дома  №3  (МО «Андегский сельсовет»)</t>
  </si>
  <si>
    <t>Осушение территории с.Несь Ненецкого автономного округа, разработка проектной документации</t>
  </si>
  <si>
    <t>Поставка и монтаж холодильной камеры, объёмом не менее 140 м. куб. в п. Бугрино</t>
  </si>
  <si>
    <t>Поставка и монтаж холодильной камеры, объёмом 30 м. куб. в д. Кия</t>
  </si>
  <si>
    <t>Поставка и монтаж холодильной камеры, объёмом 30 м. куб. в Каратайка</t>
  </si>
  <si>
    <t>Поставка бульдозера в с. Несь</t>
  </si>
  <si>
    <t>Поставка снегоболотохода ГАЗ в с. Несь</t>
  </si>
  <si>
    <t>Автомобильная дорога общего пользования регионального значения  с.Несь - г.Мезень на участке Несь - граница НАО, разработка предпроектной документации (обоснование инвестиций в строительство объекта)</t>
  </si>
  <si>
    <t xml:space="preserve"> 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</si>
  <si>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Разработка проектной документации на строительство участка магистральной дороги ул. Монтажников - ул.Угольная - ул.Юбилейная с участком до ул. Губкина в п. Искателей</t>
  </si>
  <si>
    <t>Строительство участковой больницы на 10 коек с разработкой ПСД в п. Хорей-Вер</t>
  </si>
  <si>
    <t>ФАП в поселке Варнек, разработка проектной документации</t>
  </si>
  <si>
    <r>
      <t xml:space="preserve">подпрограмма </t>
    </r>
    <r>
      <rPr>
        <b/>
        <sz val="10"/>
        <color indexed="60"/>
        <rFont val="Arial"/>
        <family val="2"/>
      </rPr>
      <t>«</t>
    </r>
    <r>
      <rPr>
        <b/>
        <i/>
        <sz val="10"/>
        <color indexed="60"/>
        <rFont val="Times New Roman"/>
        <family val="1"/>
      </rPr>
      <t>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</t>
    </r>
    <r>
      <rPr>
        <b/>
        <sz val="10"/>
        <color indexed="60"/>
        <rFont val="Arial"/>
        <family val="2"/>
      </rPr>
      <t>»</t>
    </r>
  </si>
  <si>
    <t>ФАП в д. Пылемец, привязка проектной документации</t>
  </si>
  <si>
    <t>Подготовка участка строительства, устройство наружных инженерных сетей и благоустройство для объекта строительства «Амбулатория в п. Красное Ненецкого автономного округа»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</si>
  <si>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специалистов, в целях софинансирования ФЦП "Социальное развитие села до 2013 года"</t>
  </si>
  <si>
    <t>в том числе за счёт средств 2011 года</t>
  </si>
  <si>
    <t>в том числе за счёт средств 2012 года</t>
  </si>
  <si>
    <t>Поставка снегоболотохода ГАЗ в п. Нижняя Пёша</t>
  </si>
  <si>
    <t>Субсидии в целях возмещения части затрат на с/х продукцию, произведённую и реализованную МКП</t>
  </si>
  <si>
    <t>ВБИ</t>
  </si>
  <si>
    <t>Строительство рыбоперерабатывающего завода в г. Нарьян-Маре</t>
  </si>
  <si>
    <t>Долгосрочная целевая программа «Государственная поддержка муниципальных образований по развитию инженерной инфраструктуры в сфере с обращения с отходами производства и потребления на 2012 - 2015 годы»</t>
  </si>
  <si>
    <t>522 66 00</t>
  </si>
  <si>
    <t>Разработка генеральной схемы санитарной очистки города</t>
  </si>
  <si>
    <t>Приобретение  и установка контейнеров для сбора отходов в п. Искателей</t>
  </si>
  <si>
    <t>Приобретение  транспорта для вывоза отходов в п. Искателей</t>
  </si>
  <si>
    <t>Поставка снегоболотохода  БОБР в с. Несь</t>
  </si>
  <si>
    <t>МО "Муниципальный район"Заполярный район"</t>
  </si>
  <si>
    <t>Приобретение  и поставка комплекса термического обезвреживания КТО-50К20 в с. Тельвиска</t>
  </si>
  <si>
    <t xml:space="preserve">"Государственная поддержка муниципальных образований по развитию инженерной инфраструктуры в сфере обращения </t>
  </si>
  <si>
    <t xml:space="preserve"> с отходами производства и потребления на 2012-2015 годы"</t>
  </si>
  <si>
    <t>МО"Городской округ "Город Нарьян-Мар"</t>
  </si>
  <si>
    <t>Поставка системы водоподготовки для водозабора п. Искаиелей</t>
  </si>
  <si>
    <t>815</t>
  </si>
  <si>
    <t>за счет остатков средств 2012 г</t>
  </si>
  <si>
    <t>Строительство автомобильной дороги Нарьян-Мар-Тельвиска с подготовкой проектной документации</t>
  </si>
  <si>
    <t>в т.ч.</t>
  </si>
  <si>
    <t>Выполнение работ по завершению строительства 4-х квартирного жилого дома №1 в с.Шойна</t>
  </si>
  <si>
    <t>Выполнение работ по завершению строительства 4-х квартирного жилого дома №2 в с. Шойна</t>
  </si>
  <si>
    <t>Мероприятия по сносу МКД</t>
  </si>
  <si>
    <t>Объекты капитального строительства (Прил. 12)</t>
  </si>
  <si>
    <t>Субсидии на иные цели за счёт средств 2012 года :</t>
  </si>
  <si>
    <t xml:space="preserve"> за счет остатков средств  2012г.</t>
  </si>
  <si>
    <t>Установка коллективных (общедомовых) приборов учёта энергетических ресурсов в МКД</t>
  </si>
  <si>
    <t>Разработка схем теплоснабжения, водоснабжения и водоотведения п. Искателей</t>
  </si>
  <si>
    <t>Строительство контейнерных площадок, с разработкой ПСД в п. Искателей</t>
  </si>
  <si>
    <t>Субсидии МО "Муниципальный район "Заполярный район"</t>
  </si>
  <si>
    <t xml:space="preserve">Государственная поддержка граждан, выезжающих из НАО </t>
  </si>
  <si>
    <t>Предоставление жителям сельской местности социальных выплат на компенсацию части расходов по газификации индивидуальных домов</t>
  </si>
  <si>
    <t>Предоставление участникам подпрограммы социальных выплат на строительство (завершение ранее начатого строительства) индивидуальных домов</t>
  </si>
  <si>
    <t>Информирование населения, в т.ч. через СМИ</t>
  </si>
  <si>
    <t>Приобретение 2-х автобусов для МУП "Нарьян-Марское АТП" типа ЛИАЗ-5293.53 (или аналог), оборудованных для проезда инвалидов</t>
  </si>
  <si>
    <t>"Развитие городского округа "Город Нарьян-Мар" на 2009 -2013 годы"</t>
  </si>
  <si>
    <t>за 2013 год</t>
  </si>
  <si>
    <t xml:space="preserve">за 2013 год  </t>
  </si>
  <si>
    <t>Утверждено ОБ на 2013 год</t>
  </si>
  <si>
    <t>Образование</t>
  </si>
  <si>
    <t>07</t>
  </si>
  <si>
    <t>Дошкольное образование</t>
  </si>
  <si>
    <t>Общее образование</t>
  </si>
  <si>
    <t>Организация дорожного движения на дорогах общего пользования местного значения</t>
  </si>
  <si>
    <t>Устройство детских игровых площадок в городе Нарьян-Маре</t>
  </si>
  <si>
    <t>Устройство междворовых проездов</t>
  </si>
  <si>
    <t>"Социальное развитие села на территории Ненецкого автономного округа на 2009 - 2015 годы"</t>
  </si>
  <si>
    <t>Подготовка земельного участка для строительства 4-х квартирных жилых домов в п. Красное  (МО «Приморско-Куйский сельсовет»)</t>
  </si>
  <si>
    <t>Подготовка земельного участка для строительства двух 4-х квартирных жилых домов в п. Красное  (МО «Приморско-Куйский сельсовет»)</t>
  </si>
  <si>
    <t>Подготовка земельного участка для строительства объекта "1-но комнатный жилой дом № 2 в МО «Приморско-Куйский сельсовет» Ненецкого автономного округа</t>
  </si>
  <si>
    <t>Подготовка земельного участка для строительства 4-х квартирного жилого дома в п. Красное  (МО «Приморско-Куйский сельсовет»)</t>
  </si>
  <si>
    <t>(610604) Предоставление субсидий предприятиям АПК на возмещение расходов при финансировании мероприятий по предоставлению продукции на выставках и конкурсах</t>
  </si>
  <si>
    <t>(610605) Предоставление субсидий юр. лицам, осуществляющим производство электроэнергии в сельских населённых пунктах и её реализацию сельхозтоваропроизводителям, для возмещения убытков, возникающих в результате гос. регулирования тарифов на электроэнергию, и сельхозтоваропроизводителям, осуществляющим производство электроэнергии в сельских населённых пунктах и использующих её на нужды сельхозпроизводства</t>
  </si>
  <si>
    <t xml:space="preserve">(610602) Проведение праздника "День работника сельского хозяйства" </t>
  </si>
  <si>
    <t>(600200) Субсидии МО"Муниципальный район "Заполярный район"</t>
  </si>
  <si>
    <t>Управление финансов Ненецкого автономного округа</t>
  </si>
  <si>
    <t>Управление экономического развития Ненецкого автономного округа</t>
  </si>
  <si>
    <t>009</t>
  </si>
  <si>
    <t>(600602) 2. Субсидия на возмещение части затрат на уплату процентов по кредитам, полученным в кредитных организациях в 2011-2014 годах , на ремонт хлебопекарен, предприятий общественного питания, предприятий розничной торговли в сельских населённых пунктах с численностью жителей до 200 человек, на приобретение технологического оборудования для  хлебопечения, заготовительной деятельности, предприятий общественного питания и бытового обслуживания, торгового оборудования и техники для организации розничной торговли в сельских населённых пунктах с численностью жителей до 200 человек</t>
  </si>
  <si>
    <t>(600603) 3. Субсидии на возмещение части затрат по доставке продовольственных товаров  в сельские населённые пункты</t>
  </si>
  <si>
    <t>(600604) 4. Субсидии на возмещение части затрат на производство хлеба и хлебобулочных изделий в сельских населённых пунктах</t>
  </si>
  <si>
    <t>(600605) 5. Субсидии на возмещение части затрат по доставке хлеба и хлебобулочных изделий в сельские населённые пункты в случае отсутствия пекарен в указанных населённых пунктах или на период их ремонта</t>
  </si>
  <si>
    <t>(600606) 6. Субсидии на возмещение части затрат на электрическую, тепловую энергию и твёрдое топливо, потреблённые предприятиями общественного питания</t>
  </si>
  <si>
    <t>Привязка и строительство бани в п. Варнек</t>
  </si>
  <si>
    <t>Разработка ПСД типового склада ГСМ</t>
  </si>
  <si>
    <t>(600607) 7. Субсидии на возмещение части затрат на электрическую энергию и твёрдое топливо предприятиям розничной торговли  в сельских населённых пунктах с численностью жителей до 200 человек</t>
  </si>
  <si>
    <r>
      <t xml:space="preserve">подпрограмма </t>
    </r>
    <r>
      <rPr>
        <b/>
        <sz val="10"/>
        <rFont val="Times New Roman"/>
        <family val="1"/>
      </rPr>
      <t>«</t>
    </r>
    <r>
      <rPr>
        <b/>
        <i/>
        <sz val="10"/>
        <rFont val="Times New Roman"/>
        <family val="1"/>
      </rPr>
      <t>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</t>
    </r>
    <r>
      <rPr>
        <b/>
        <sz val="10"/>
        <rFont val="Times New Roman"/>
        <family val="1"/>
      </rPr>
      <t>»</t>
    </r>
  </si>
  <si>
    <t>Субсидии МО "Городской округ "Город Нарьян-Мар"</t>
  </si>
  <si>
    <t>Субсидии МО"Муниципальный район "Заполярный район"</t>
  </si>
  <si>
    <t>Субсидии на иные цели, в т.ч:</t>
  </si>
  <si>
    <t>Детский сад на 220 мест по ул.Авиаторов в г.Нарьян-Маре, разработка ПСД</t>
  </si>
  <si>
    <t>Строительство школы № 3 на 700 мест по ул.Авиаторов в г. Нарьян-Маре, разработка проектной документации</t>
  </si>
  <si>
    <t xml:space="preserve">Обустройство дворовой территории по ул. Октябрьская, д. 9 </t>
  </si>
  <si>
    <t>в том числн освоение за счет остатков средств  2012г.</t>
  </si>
  <si>
    <t>в том числе освоение за счет остатков средств  2011г.</t>
  </si>
  <si>
    <t>в том числе освоение за счет остатков средств  2012г.</t>
  </si>
  <si>
    <t>Субсидии на иные цели</t>
  </si>
  <si>
    <t>Субсидии на иные цели, в том числе:</t>
  </si>
  <si>
    <t>Бурение спутниковых скважин на водозаборе "Озёрный"</t>
  </si>
  <si>
    <t>Субсидии на иные цели:</t>
  </si>
  <si>
    <t>100 11 01</t>
  </si>
  <si>
    <t>Осуществление бюджетных инвестиций в форме капитальных вложений в основные средства ГУП НАО "Нарьян-Марская электростанция на реконструкцию электрических сетей, релейной защиты и автоматики ГУП НАО "Нарьян-Марская электростанция"</t>
  </si>
  <si>
    <t>Осуществление бюджетных инвестиций в форме капитальных вложений в основные средства ГУП НАО "Нарьян-Марская электростанция" на обеспечение земельных участков инженерной инфраструктурой в районе ул. Авиаторов в г. Нарьян-Мар (раздел электроснабжение)</t>
  </si>
  <si>
    <t xml:space="preserve"> Строительство ветродизельного комплекса в п. Усть-Кара с разработкой ПСД</t>
  </si>
  <si>
    <t>Строительство ЛЭП п. Хорей-Вер - п. Харьягинский с разработкой ПСД</t>
  </si>
  <si>
    <t>Разработка ПСД на реконструкцию объекта "Котельная № 9 по ул. Ленина 4 А"</t>
  </si>
  <si>
    <t>Строительство объекта «Школа на 300 мест в п. Красное»</t>
  </si>
  <si>
    <t>за счёт средств 2012 года</t>
  </si>
  <si>
    <t>Строительство объекта «Школа-сад на 80 мест в п. Бугрино»</t>
  </si>
  <si>
    <t>Строительство объекта «Пришкольный интернат на 80 мест в п. Каратайка» с разработкой ПСД</t>
  </si>
  <si>
    <t>Строительство объекта «Школа на 800 мест в п. Искателей», с разработкой ПСД</t>
  </si>
  <si>
    <t>Строительство объекта «Школа на 150 мест в п. Индига»</t>
  </si>
  <si>
    <t>Строительство объекта «Школа на 110 мест в с. Нижняя Пёша»</t>
  </si>
  <si>
    <t>Строительство объекта «Детский сад на 80 мест в п. Харута»</t>
  </si>
  <si>
    <t>Строительство детского сада на 80 мест  в п.Усть-Кара, с разработкой ПСД</t>
  </si>
  <si>
    <t>Привязка и строительство гаража для спецтехники МО «Карский сельсовет»</t>
  </si>
  <si>
    <t>Привязка и строительство гаража для спецтехники МО «Малоземельский  сельсовет»</t>
  </si>
  <si>
    <t>Спортивный зал в с.Оксино Ненецкого автономного округа, с разработкой проектной документации</t>
  </si>
  <si>
    <t>Привязка проектной документации объекта «Объект соцкультбыта в Новом поселке» для разработки проектной документации объекта «Объект соцкультбыта в с.Великовисочное»</t>
  </si>
  <si>
    <t>Ремонт взлетно-посадочной полосы в п. Индига МО «Тиманский сельсовет»</t>
  </si>
  <si>
    <t>Разработка проектной документации объекта «Служебно-пассажирское здание местных воздушных линий в д.Чижа»</t>
  </si>
  <si>
    <t>Разработка проектной документации объекта «Служебно-пассажирское здание местных воздушных линий в д.Лабожское»</t>
  </si>
  <si>
    <t>Разработка проектной документации на строительство моста через р.Кутино с.Несь</t>
  </si>
  <si>
    <r>
      <t xml:space="preserve">Разработка проектной документации для строительства объекта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Школа на 100 мест в с.Оксино»</t>
    </r>
  </si>
  <si>
    <r>
      <t xml:space="preserve">Разработка проектной документации для строительства объекта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Школа на 100 мест в п.Харута»</t>
    </r>
  </si>
  <si>
    <r>
      <t>«</t>
    </r>
    <r>
      <rPr>
        <sz val="10"/>
        <color indexed="16"/>
        <rFont val="Times New Roman"/>
        <family val="1"/>
      </rPr>
      <t>Школа на 300 мест в с.Несь Ненецкого автономного округа», привязка проектной документации «Школа на 300 мест в п.Красное Ненецкого автономного округа»</t>
    </r>
  </si>
  <si>
    <r>
      <t xml:space="preserve">Ремонт взлетно-посадочной полосы в п Каратайка МО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Юшарский сельсовет»</t>
    </r>
  </si>
  <si>
    <r>
      <t xml:space="preserve">Ремонт вертолетной площадки в с. Оксино МО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Пустозерский сельсовет»</t>
    </r>
  </si>
  <si>
    <r>
      <t xml:space="preserve">Ремонт взлетно-посадочной полосы в с. Великовисочное МО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Великовисочный сельсовет»</t>
    </r>
  </si>
  <si>
    <r>
      <t xml:space="preserve">Привязка проектной документации объекта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  </r>
  </si>
  <si>
    <r>
      <t xml:space="preserve">Привязка проектной документации объекта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  </r>
  </si>
  <si>
    <r>
      <t xml:space="preserve">Привязка проектной документации объекта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  </r>
  </si>
  <si>
    <r>
      <t xml:space="preserve">Привязка проектной документации </t>
    </r>
    <r>
      <rPr>
        <sz val="10"/>
        <color indexed="16"/>
        <rFont val="Arial"/>
        <family val="2"/>
      </rPr>
      <t>«</t>
    </r>
    <r>
      <rPr>
        <sz val="10"/>
        <color indexed="16"/>
        <rFont val="Times New Roman"/>
        <family val="1"/>
      </rPr>
      <t>Баня в п. Варнек» для строительства объекта «Баня в д. Андег»</t>
    </r>
  </si>
  <si>
    <t>Приобретение  и поставка комплекса термического обезвреживания КТО-50 в д. Макарово</t>
  </si>
  <si>
    <t>Приобретение  и установка контейнеров для сбора отходов в п. Тельвиска</t>
  </si>
  <si>
    <t>Строительство автомобильной дороги ул. Полярная - ул. Рыбников в г.Нарьян-Маре</t>
  </si>
  <si>
    <t>Реконструкция улично-дорожной сети п. Новый в г. Нарьян-Маре Ненецкого автономного округа</t>
  </si>
  <si>
    <t>Строительство автомобильной дороги ул. Рыбников с подъездом к ЦОС в г. Нарьян-Маре Ненецкого автономного округа</t>
  </si>
  <si>
    <t>Реконструкция автомобильной дороги Морпорт - примыкание к федеральной дороге в г.Нарьян-Маре</t>
  </si>
  <si>
    <t xml:space="preserve"> за счёт средств 2012 года</t>
  </si>
  <si>
    <t>Реконструкция ул. Хатанзейского в г. Нарьян-Маре Ненецкий автономный округ</t>
  </si>
  <si>
    <t>Реконструкция ул. Октябрьская в г.Нарьян-Маре</t>
  </si>
  <si>
    <t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</t>
  </si>
  <si>
    <t>Реконструкция ул. Хатанзейского на участке от ул.Выучейского до территории КОС (завершение работ)</t>
  </si>
  <si>
    <t xml:space="preserve">Строительство нового корпуса детского сада «Ромашка», разработка проектной документации            </t>
  </si>
  <si>
    <t>Баня в п. Новый г. Нарьян-Мара, разработка ПСД</t>
  </si>
  <si>
    <t xml:space="preserve">Лимиты 2012 года по непереходящему мероприятию: Полигон твердых бытовых отходов с рекультивацией существующей свалки, с корректировкой ПСД  </t>
  </si>
  <si>
    <t>Лимиты 2012 года по непереходящему мероприятию: Обустройство дворовой территориив Ленина 27а,27б</t>
  </si>
  <si>
    <t>Лимиты 2012 года по непереходящему мероприятию:</t>
  </si>
  <si>
    <t xml:space="preserve">Реконструкция II-ой очереди канализационных очистных сооружений в г. Нарьян-Маре </t>
  </si>
  <si>
    <t>Строительство очистных сооружений в п. Качгорт г.Нарьян-Мара</t>
  </si>
  <si>
    <t xml:space="preserve">Строительство станции доочистки воды на ВНС-3 </t>
  </si>
  <si>
    <t>Строительство блочных локальных очистных сооружений (БЛОС) по ул. Бондарная в г. Нарьян-Маре</t>
  </si>
  <si>
    <t>Реконструкция станции доочистки воды на ВНС-2 в г. Нарьян-Маре</t>
  </si>
  <si>
    <t>Реконструкция станции доочистки воды на ВНС-8 в г.Нарьян-Маре</t>
  </si>
  <si>
    <t>Реконструкция ГКНС в г. Нарьян-Маре</t>
  </si>
  <si>
    <t>Перевод на полное благоустройство кварталов центральной части города Нарьян-Мара</t>
  </si>
  <si>
    <t>Перевод на полное благоустройство жилых домов в п. Новый в г.Нарьян-Маре</t>
  </si>
  <si>
    <t xml:space="preserve">Лимиты 2011 года по непереходящему мероприятию:Строительство КОС в п. Бондарка с корректировкой ПСД </t>
  </si>
  <si>
    <t xml:space="preserve">Строительство очистных сооружений производительностью 2500 куб. м. в сутки в п. Искателей </t>
  </si>
  <si>
    <t xml:space="preserve">Лимиты 2012 года по непереходящему мероприятию: Разработка ПСД на строительство канализационного коллектора с КНС в п.Искателей </t>
  </si>
  <si>
    <t>Лимиты 2012 года по непереходящему мероприятию: Строительство водовода с разработкой ПСД в п.Харута Ненецкого автономного округа</t>
  </si>
  <si>
    <t>Реконструкция ЛЭП  в д. Андег</t>
  </si>
  <si>
    <t>Реконструкция ЛЭП в д. Пылемец</t>
  </si>
  <si>
    <t>Строительство ДЭС (д. Чижа)</t>
  </si>
  <si>
    <t>Реконструкция ЛЭП 0,4 кВ, 10 Кв, трансформаторных подстанций в с. Ома, Ненецкий автономный округ</t>
  </si>
  <si>
    <t>Реконструкция ЛЭП 0,4 кВ, 10 Кв, трансформаторных подстанций в с.Нижняя Пёша , Ненецкий автономный округ</t>
  </si>
  <si>
    <t>Реконструкция ЛЭП и ТП (д. Верхняя Пёша)</t>
  </si>
  <si>
    <t>Газификация с.Тельвиска</t>
  </si>
  <si>
    <t>Реконструкция участка ЛЭП от дома № 48 до дома № 75 в с. Тельвиска</t>
  </si>
  <si>
    <t>Строительство объекта «ЛЭП-0,4кВ, трансформаторная подстанция в п. Выучейский»</t>
  </si>
  <si>
    <t>Строительство объекта «ЛЭП-0,4кВ, 10 кВ, трансформаторные подстанции в п. Индига и межпоселковая ЛЭП-10 кВ: п. Индига - п. Выучейский»</t>
  </si>
  <si>
    <t>Строительство ДЭС (п. Индига)</t>
  </si>
  <si>
    <t>Строительство ДЭС (д. Кия)</t>
  </si>
  <si>
    <t>Проведение энергетического обследования многоквартирных домов на территории МО "городское поселение "Рабочий посёлок Искателей"</t>
  </si>
  <si>
    <t>Изготовление и трансляция видеороликов на территории НАО, призывающих к экономии электроэнергии и информирующих пользе внедрения энергосберегающих технологий</t>
  </si>
  <si>
    <t>Изготовление и размещение рекламных материалов, направленных на популяризацию внедрения энергосберегающих технологий населением округа</t>
  </si>
  <si>
    <t>Проведение обязательного энергетического обследования учреждений здравоохранения Ненецкого автономного округа</t>
  </si>
  <si>
    <t>КУ НАО "Централизованный стройзаказчик "</t>
  </si>
  <si>
    <t>Управление здравоохранения Ненецкого автономного округа</t>
  </si>
  <si>
    <t>Другие вопросы в области здравоохранения</t>
  </si>
  <si>
    <t>Обеспечение функций казёнными учреждениями НАО</t>
  </si>
  <si>
    <t>Федеральный бюджет</t>
  </si>
  <si>
    <t xml:space="preserve">(610603) Исследование запасов водных биологических ресурсов внутренних водоёмов округа </t>
  </si>
  <si>
    <t xml:space="preserve">(610612) Проведение мелиоративных работ на оз. Голодная губа </t>
  </si>
  <si>
    <t xml:space="preserve">(610610) Предоставление субсидий в целях возмещения сельскохозяйственным товаропроизводителям, осуществляющим деятельность на территории НАО, части затрат по производству и реализации сельскохозяйственной продукции в 2012 году </t>
  </si>
  <si>
    <t>Субсидии в целях возмещения части затрат на ремонт здания фермы МКП "Омский ЖК"</t>
  </si>
  <si>
    <t>(610611) Предоставление субсидий юр. лицам, инд. предпринимателям, физ. лицам осуществляющим на территории НАО производство и реализацию молока населению по фиксированной цене</t>
  </si>
  <si>
    <t>(600609) 9. Субсидии на приобретение и поставку модульных пунктов питания в сельские населённые пункты</t>
  </si>
  <si>
    <t>установка коллективных (общедомовых) приборов учёта энергетических ресурсов в многоквартирных домах</t>
  </si>
  <si>
    <t>разработка схем теплоснабжения, водоснабжения и водоотведения города</t>
  </si>
  <si>
    <t>проведение энергетического обследования многоквартирных домов на территории МО "ГО "Город Нарьян-Мар"</t>
  </si>
  <si>
    <t xml:space="preserve">МО"Городское поселение "Рабочий посёлок Искателей" </t>
  </si>
  <si>
    <t>Геологические исследования и  разведка подземных вод в д. Пылемец</t>
  </si>
  <si>
    <t>Геологические исследования и  разведка подземных вод в с. Коткино</t>
  </si>
  <si>
    <t>Реализация долгосрочных целевых программ Ненецкого автономного округа</t>
  </si>
  <si>
    <t>Всего расходов по долгосрочным целевым программам за счёт средств 2013 года</t>
  </si>
  <si>
    <t>"Формирование и регулирование рынка сельскохозяйственной продукции, сырья и продовольствия в Ненецком автономном округе на 2011 - 2017 годы"</t>
  </si>
  <si>
    <t>Содержание памятников</t>
  </si>
  <si>
    <t>Обустройство дворовой территории в районе д. 4 по ул. 60 лет СССР</t>
  </si>
  <si>
    <t>Обустройство дворовой территории по ул. Ленина, д. 49</t>
  </si>
  <si>
    <t>Освоено*</t>
  </si>
  <si>
    <t>Установка светофора в районе Прокуратуры</t>
  </si>
  <si>
    <t>Разработка местных нормативов градостроительного проектирования для г. Нарьян-Мар</t>
  </si>
  <si>
    <t>Проведение обязательного энергетического обследования объектов Нарьян-Марского МУ ПОК и ТС</t>
  </si>
  <si>
    <t>Проведение обязательного энергетического обследования объектов МУ "КБ и БО"</t>
  </si>
  <si>
    <t>Целевая статья</t>
  </si>
  <si>
    <t>Глава</t>
  </si>
  <si>
    <t>Раздел</t>
  </si>
  <si>
    <t>Подраздел</t>
  </si>
  <si>
    <t>Вид расходов</t>
  </si>
  <si>
    <t>Долгосрочная целевая программа Ненецкого автономного округа "Жилище" на 2011 - 2022 годы</t>
  </si>
  <si>
    <t>522 51 00</t>
  </si>
  <si>
    <t>522 51 01</t>
  </si>
  <si>
    <t>подпрограмма "Переселение граждан из жилищного фонда, признанного непригодным для проживания, и / или с высоким уровнем износа"</t>
  </si>
  <si>
    <t>522 51 02</t>
  </si>
  <si>
    <t>подпрограмма "Обеспечение земельных участков коммунальной и транспортной инфраструктурами в целях жилищного строительства"</t>
  </si>
  <si>
    <t>522 51 03</t>
  </si>
  <si>
    <t>подпрограмма "Меры социальной поддержки населения при кредитовании или заимствовании на приобретение (строительство) жилья"</t>
  </si>
  <si>
    <t>522 51 04</t>
  </si>
  <si>
    <t>подпрограмма "Государственная поддержка жителей сельской местности при строительстве или газификации индивидуальных домов"</t>
  </si>
  <si>
    <t>522 51 05</t>
  </si>
  <si>
    <t>Управление строительства и жилищно-коммунального хозяйства Ненецкого автономного округа</t>
  </si>
  <si>
    <t>020</t>
  </si>
  <si>
    <t>Долгосрочная целевая программа "Социальное развитие села на территории Ненецкого автономного округа на 2009 - 2012 годы"</t>
  </si>
  <si>
    <t>522 52 00</t>
  </si>
  <si>
    <t>Социальная политика</t>
  </si>
  <si>
    <t>10</t>
  </si>
  <si>
    <t xml:space="preserve">Социальное обеспечение населения </t>
  </si>
  <si>
    <t>03</t>
  </si>
  <si>
    <t>Социальные выплаты</t>
  </si>
  <si>
    <t>005</t>
  </si>
  <si>
    <t>Фонд софинансирования</t>
  </si>
  <si>
    <t>010</t>
  </si>
  <si>
    <t>МО"Муниципальный район "Заполярный район"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</si>
  <si>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</si>
  <si>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</si>
  <si>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на иные цели                                                      (Приобретение специализированной техники для коммунальных нужд)</t>
  </si>
  <si>
    <t>Приобретение и монтаж мебели и технологического оборудования по объекту "Строительство участковой больницы на 10 коек с разработкой ПСД в п. Хорей-Вер"</t>
  </si>
  <si>
    <t>ФАП в п. Бугрино, привязка проектной документации</t>
  </si>
  <si>
    <t>МО "Городской округ "Город Нарьян-Мар"</t>
  </si>
  <si>
    <t>Долгосрочная целевая программа "Развитие городского округа "Город Нарьян-Мар" на 2009 -2012 годы"</t>
  </si>
  <si>
    <t>522 55 00</t>
  </si>
  <si>
    <t>Прочие расходы</t>
  </si>
  <si>
    <t>013</t>
  </si>
  <si>
    <t>01</t>
  </si>
  <si>
    <t>Управление здравоохранения и социальной защиты населения Ненецкого автономного округа</t>
  </si>
  <si>
    <t>027</t>
  </si>
  <si>
    <t>09</t>
  </si>
  <si>
    <t>Стационарная медицинская помощь</t>
  </si>
  <si>
    <t>Здравоохранение</t>
  </si>
  <si>
    <t>02</t>
  </si>
  <si>
    <t>Бюджетные инвестиции</t>
  </si>
  <si>
    <t>003</t>
  </si>
  <si>
    <t>Долгосрочная целевая программа "Обеспечение населения Ненецкого автономного округа чистой водой"</t>
  </si>
  <si>
    <t>522 58 00</t>
  </si>
  <si>
    <t>МО"Муниципальный район"Заполярный район"</t>
  </si>
  <si>
    <t>522 59 00</t>
  </si>
  <si>
    <t>05</t>
  </si>
  <si>
    <t>Жилищно-коммунальное хозяйство</t>
  </si>
  <si>
    <t>Коммунальное хозяйство</t>
  </si>
  <si>
    <t>% освоения</t>
  </si>
  <si>
    <t>Управление международных и межрегиональных связей, информации и массовых коммуникаций Ненецкого автономного округа</t>
  </si>
  <si>
    <t>028</t>
  </si>
  <si>
    <t>12</t>
  </si>
  <si>
    <t>Средства массовой информации</t>
  </si>
  <si>
    <t>04</t>
  </si>
  <si>
    <t>Другие вопросы в области средств массовой информации</t>
  </si>
  <si>
    <t>тыс.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</si>
</sst>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0.0"/>
    <numFmt numFmtId="167" formatCode="00\.00\.0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00\.00\.000\.0"/>
    <numFmt numFmtId="174" formatCode="_-* #,##0.0_р_._-;\-* #,##0.0_р_._-;_-* &quot;-&quot;?_р_._-;_-@_-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[Red]\-#,##0.00;0.00"/>
    <numFmt numFmtId="181" formatCode="0000000"/>
    <numFmt numFmtId="182" formatCode="000"/>
    <numFmt numFmtId="183" formatCode="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0"/>
      <name val="Arial"/>
      <family val="0"/>
    </font>
    <font>
      <sz val="8"/>
      <color indexed="60"/>
      <name val="Arial"/>
      <family val="2"/>
    </font>
    <font>
      <sz val="10"/>
      <color indexed="16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name val="Arial Cyr"/>
      <family val="0"/>
    </font>
    <font>
      <i/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53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Arial"/>
      <family val="2"/>
    </font>
    <font>
      <b/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sz val="10"/>
      <color indexed="16"/>
      <name val="Arial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9"/>
      <color indexed="16"/>
      <name val="Times New Roman"/>
      <family val="1"/>
    </font>
    <font>
      <sz val="11"/>
      <name val="Times New Roman"/>
      <family val="1"/>
    </font>
    <font>
      <sz val="11"/>
      <color indexed="16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18" fillId="11" borderId="2" applyNumberFormat="0" applyAlignment="0" applyProtection="0"/>
    <xf numFmtId="0" fontId="19" fillId="11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7" borderId="6" applyNumberFormat="0" applyFont="0" applyAlignment="0" applyProtection="0"/>
    <xf numFmtId="0" fontId="23" fillId="0" borderId="7" applyNumberFormat="0" applyFill="0" applyAlignment="0" applyProtection="0"/>
    <xf numFmtId="0" fontId="24" fillId="24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7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606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" borderId="12" xfId="0" applyFont="1" applyFill="1" applyBorder="1" applyAlignment="1">
      <alignment/>
    </xf>
    <xf numFmtId="49" fontId="6" fillId="3" borderId="13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vertical="justify" wrapText="1"/>
      <protection/>
    </xf>
    <xf numFmtId="164" fontId="5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left" wrapText="1" indent="1"/>
    </xf>
    <xf numFmtId="164" fontId="9" fillId="0" borderId="14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9" fillId="3" borderId="14" xfId="0" applyNumberFormat="1" applyFont="1" applyFill="1" applyBorder="1" applyAlignment="1">
      <alignment/>
    </xf>
    <xf numFmtId="164" fontId="3" fillId="3" borderId="14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/>
    </xf>
    <xf numFmtId="164" fontId="11" fillId="3" borderId="14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14" borderId="14" xfId="0" applyNumberFormat="1" applyFont="1" applyFill="1" applyBorder="1" applyAlignment="1">
      <alignment/>
    </xf>
    <xf numFmtId="164" fontId="9" fillId="14" borderId="14" xfId="0" applyNumberFormat="1" applyFont="1" applyFill="1" applyBorder="1" applyAlignment="1">
      <alignment/>
    </xf>
    <xf numFmtId="164" fontId="3" fillId="14" borderId="14" xfId="0" applyNumberFormat="1" applyFont="1" applyFill="1" applyBorder="1" applyAlignment="1">
      <alignment/>
    </xf>
    <xf numFmtId="164" fontId="13" fillId="14" borderId="14" xfId="0" applyNumberFormat="1" applyFont="1" applyFill="1" applyBorder="1" applyAlignment="1">
      <alignment/>
    </xf>
    <xf numFmtId="164" fontId="11" fillId="14" borderId="14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indent="1"/>
    </xf>
    <xf numFmtId="0" fontId="6" fillId="3" borderId="12" xfId="0" applyFont="1" applyFill="1" applyBorder="1" applyAlignment="1">
      <alignment textRotation="90" wrapText="1"/>
    </xf>
    <xf numFmtId="49" fontId="12" fillId="0" borderId="14" xfId="0" applyNumberFormat="1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0" fontId="6" fillId="3" borderId="14" xfId="0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34" fillId="0" borderId="14" xfId="0" applyNumberFormat="1" applyFont="1" applyFill="1" applyBorder="1" applyAlignment="1">
      <alignment/>
    </xf>
    <xf numFmtId="49" fontId="34" fillId="0" borderId="14" xfId="0" applyNumberFormat="1" applyFont="1" applyFill="1" applyBorder="1" applyAlignment="1">
      <alignment horizontal="center"/>
    </xf>
    <xf numFmtId="164" fontId="34" fillId="14" borderId="14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164" fontId="3" fillId="14" borderId="13" xfId="0" applyNumberFormat="1" applyFont="1" applyFill="1" applyBorder="1" applyAlignment="1">
      <alignment/>
    </xf>
    <xf numFmtId="164" fontId="3" fillId="3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left" wrapText="1" indent="1"/>
    </xf>
    <xf numFmtId="166" fontId="6" fillId="3" borderId="14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 horizontal="center"/>
    </xf>
    <xf numFmtId="164" fontId="43" fillId="0" borderId="14" xfId="0" applyNumberFormat="1" applyFont="1" applyFill="1" applyBorder="1" applyAlignment="1">
      <alignment/>
    </xf>
    <xf numFmtId="164" fontId="43" fillId="14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wrapText="1"/>
    </xf>
    <xf numFmtId="164" fontId="12" fillId="14" borderId="14" xfId="0" applyNumberFormat="1" applyFont="1" applyFill="1" applyBorder="1" applyAlignment="1">
      <alignment/>
    </xf>
    <xf numFmtId="164" fontId="12" fillId="3" borderId="14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vertical="center" wrapText="1"/>
    </xf>
    <xf numFmtId="164" fontId="43" fillId="0" borderId="14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/>
    </xf>
    <xf numFmtId="22" fontId="12" fillId="0" borderId="14" xfId="0" applyNumberFormat="1" applyFont="1" applyBorder="1" applyAlignment="1">
      <alignment/>
    </xf>
    <xf numFmtId="164" fontId="3" fillId="14" borderId="14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/>
    </xf>
    <xf numFmtId="164" fontId="38" fillId="14" borderId="14" xfId="0" applyNumberFormat="1" applyFont="1" applyFill="1" applyBorder="1" applyAlignment="1">
      <alignment/>
    </xf>
    <xf numFmtId="164" fontId="2" fillId="14" borderId="14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/>
    </xf>
    <xf numFmtId="164" fontId="39" fillId="14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164" fontId="45" fillId="14" borderId="14" xfId="0" applyNumberFormat="1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164" fontId="45" fillId="0" borderId="14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35" fillId="14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 horizontal="left"/>
    </xf>
    <xf numFmtId="49" fontId="38" fillId="0" borderId="14" xfId="0" applyNumberFormat="1" applyFont="1" applyFill="1" applyBorder="1" applyAlignment="1">
      <alignment horizontal="left"/>
    </xf>
    <xf numFmtId="164" fontId="38" fillId="0" borderId="0" xfId="0" applyNumberFormat="1" applyFont="1" applyFill="1" applyBorder="1" applyAlignment="1">
      <alignment horizontal="left"/>
    </xf>
    <xf numFmtId="164" fontId="39" fillId="3" borderId="14" xfId="0" applyNumberFormat="1" applyFont="1" applyFill="1" applyBorder="1" applyAlignment="1">
      <alignment/>
    </xf>
    <xf numFmtId="49" fontId="38" fillId="3" borderId="14" xfId="0" applyNumberFormat="1" applyFont="1" applyFill="1" applyBorder="1" applyAlignment="1">
      <alignment/>
    </xf>
    <xf numFmtId="164" fontId="38" fillId="3" borderId="14" xfId="0" applyNumberFormat="1" applyFont="1" applyFill="1" applyBorder="1" applyAlignment="1">
      <alignment/>
    </xf>
    <xf numFmtId="164" fontId="38" fillId="3" borderId="0" xfId="0" applyNumberFormat="1" applyFont="1" applyFill="1" applyBorder="1" applyAlignment="1">
      <alignment/>
    </xf>
    <xf numFmtId="49" fontId="38" fillId="3" borderId="0" xfId="0" applyNumberFormat="1" applyFont="1" applyFill="1" applyBorder="1" applyAlignment="1">
      <alignment/>
    </xf>
    <xf numFmtId="167" fontId="13" fillId="0" borderId="14" xfId="91" applyNumberFormat="1" applyFont="1" applyFill="1" applyBorder="1" applyAlignment="1" applyProtection="1">
      <alignment horizontal="left" vertical="center" wrapText="1" indent="1"/>
      <protection hidden="1"/>
    </xf>
    <xf numFmtId="164" fontId="35" fillId="0" borderId="14" xfId="0" applyNumberFormat="1" applyFont="1" applyFill="1" applyBorder="1" applyAlignment="1">
      <alignment/>
    </xf>
    <xf numFmtId="164" fontId="38" fillId="14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164" fontId="9" fillId="14" borderId="14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left" indent="1"/>
    </xf>
    <xf numFmtId="49" fontId="9" fillId="0" borderId="14" xfId="0" applyNumberFormat="1" applyFont="1" applyFill="1" applyBorder="1" applyAlignment="1">
      <alignment horizontal="left" indent="1"/>
    </xf>
    <xf numFmtId="164" fontId="9" fillId="0" borderId="14" xfId="0" applyNumberFormat="1" applyFont="1" applyFill="1" applyBorder="1" applyAlignment="1">
      <alignment horizontal="right" indent="1"/>
    </xf>
    <xf numFmtId="164" fontId="9" fillId="0" borderId="0" xfId="0" applyNumberFormat="1" applyFont="1" applyFill="1" applyBorder="1" applyAlignment="1">
      <alignment wrapText="1"/>
    </xf>
    <xf numFmtId="164" fontId="5" fillId="14" borderId="14" xfId="0" applyNumberFormat="1" applyFont="1" applyFill="1" applyBorder="1" applyAlignment="1">
      <alignment wrapText="1"/>
    </xf>
    <xf numFmtId="49" fontId="2" fillId="14" borderId="14" xfId="0" applyNumberFormat="1" applyFont="1" applyFill="1" applyBorder="1" applyAlignment="1">
      <alignment/>
    </xf>
    <xf numFmtId="164" fontId="5" fillId="14" borderId="13" xfId="0" applyNumberFormat="1" applyFont="1" applyFill="1" applyBorder="1" applyAlignment="1">
      <alignment wrapText="1"/>
    </xf>
    <xf numFmtId="164" fontId="2" fillId="14" borderId="13" xfId="0" applyNumberFormat="1" applyFont="1" applyFill="1" applyBorder="1" applyAlignment="1">
      <alignment/>
    </xf>
    <xf numFmtId="49" fontId="2" fillId="14" borderId="13" xfId="0" applyNumberFormat="1" applyFont="1" applyFill="1" applyBorder="1" applyAlignment="1">
      <alignment/>
    </xf>
    <xf numFmtId="0" fontId="39" fillId="0" borderId="14" xfId="0" applyFont="1" applyFill="1" applyBorder="1" applyAlignment="1">
      <alignment wrapText="1"/>
    </xf>
    <xf numFmtId="49" fontId="39" fillId="3" borderId="14" xfId="0" applyNumberFormat="1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164" fontId="34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wrapText="1"/>
    </xf>
    <xf numFmtId="164" fontId="9" fillId="14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164" fontId="34" fillId="3" borderId="0" xfId="0" applyNumberFormat="1" applyFont="1" applyFill="1" applyBorder="1" applyAlignment="1">
      <alignment/>
    </xf>
    <xf numFmtId="164" fontId="34" fillId="3" borderId="14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22" fontId="2" fillId="0" borderId="14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 wrapText="1"/>
    </xf>
    <xf numFmtId="164" fontId="36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9" fontId="3" fillId="0" borderId="15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169" fontId="3" fillId="0" borderId="18" xfId="0" applyNumberFormat="1" applyFont="1" applyFill="1" applyBorder="1" applyAlignment="1">
      <alignment/>
    </xf>
    <xf numFmtId="0" fontId="38" fillId="0" borderId="16" xfId="0" applyFont="1" applyFill="1" applyBorder="1" applyAlignment="1">
      <alignment/>
    </xf>
    <xf numFmtId="169" fontId="2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14" xfId="0" applyNumberFormat="1" applyFont="1" applyFill="1" applyBorder="1" applyAlignment="1">
      <alignment vertical="center"/>
    </xf>
    <xf numFmtId="164" fontId="38" fillId="0" borderId="14" xfId="0" applyNumberFormat="1" applyFont="1" applyFill="1" applyBorder="1" applyAlignment="1">
      <alignment vertical="center"/>
    </xf>
    <xf numFmtId="164" fontId="39" fillId="3" borderId="14" xfId="0" applyNumberFormat="1" applyFont="1" applyFill="1" applyBorder="1" applyAlignment="1">
      <alignment horizontal="right" vertical="center"/>
    </xf>
    <xf numFmtId="164" fontId="3" fillId="14" borderId="14" xfId="0" applyNumberFormat="1" applyFont="1" applyFill="1" applyBorder="1" applyAlignment="1">
      <alignment wrapText="1"/>
    </xf>
    <xf numFmtId="49" fontId="3" fillId="14" borderId="14" xfId="0" applyNumberFormat="1" applyFont="1" applyFill="1" applyBorder="1" applyAlignment="1">
      <alignment horizontal="center"/>
    </xf>
    <xf numFmtId="164" fontId="47" fillId="14" borderId="14" xfId="0" applyNumberFormat="1" applyFont="1" applyFill="1" applyBorder="1" applyAlignment="1">
      <alignment wrapText="1"/>
    </xf>
    <xf numFmtId="164" fontId="2" fillId="25" borderId="14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164" fontId="2" fillId="3" borderId="14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wrapText="1"/>
    </xf>
    <xf numFmtId="164" fontId="47" fillId="14" borderId="13" xfId="0" applyNumberFormat="1" applyFont="1" applyFill="1" applyBorder="1" applyAlignment="1">
      <alignment wrapText="1"/>
    </xf>
    <xf numFmtId="164" fontId="49" fillId="14" borderId="14" xfId="0" applyNumberFormat="1" applyFont="1" applyFill="1" applyBorder="1" applyAlignment="1">
      <alignment/>
    </xf>
    <xf numFmtId="49" fontId="36" fillId="0" borderId="14" xfId="0" applyNumberFormat="1" applyFont="1" applyFill="1" applyBorder="1" applyAlignment="1">
      <alignment/>
    </xf>
    <xf numFmtId="164" fontId="2" fillId="25" borderId="14" xfId="0" applyNumberFormat="1" applyFont="1" applyFill="1" applyBorder="1" applyAlignment="1">
      <alignment wrapText="1"/>
    </xf>
    <xf numFmtId="164" fontId="2" fillId="3" borderId="14" xfId="0" applyNumberFormat="1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164" fontId="3" fillId="14" borderId="14" xfId="0" applyNumberFormat="1" applyFont="1" applyFill="1" applyBorder="1" applyAlignment="1">
      <alignment horizontal="center" wrapText="1"/>
    </xf>
    <xf numFmtId="164" fontId="49" fillId="14" borderId="14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 horizontal="center" wrapText="1"/>
    </xf>
    <xf numFmtId="164" fontId="39" fillId="0" borderId="14" xfId="0" applyNumberFormat="1" applyFont="1" applyFill="1" applyBorder="1" applyAlignment="1">
      <alignment/>
    </xf>
    <xf numFmtId="164" fontId="2" fillId="25" borderId="14" xfId="0" applyNumberFormat="1" applyFont="1" applyFill="1" applyBorder="1" applyAlignment="1">
      <alignment horizontal="left" wrapText="1"/>
    </xf>
    <xf numFmtId="49" fontId="3" fillId="14" borderId="14" xfId="0" applyNumberFormat="1" applyFont="1" applyFill="1" applyBorder="1" applyAlignment="1">
      <alignment wrapText="1"/>
    </xf>
    <xf numFmtId="164" fontId="3" fillId="14" borderId="14" xfId="0" applyNumberFormat="1" applyFont="1" applyFill="1" applyBorder="1" applyAlignment="1">
      <alignment horizontal="center"/>
    </xf>
    <xf numFmtId="49" fontId="3" fillId="14" borderId="1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38" fillId="25" borderId="0" xfId="0" applyNumberFormat="1" applyFont="1" applyFill="1" applyBorder="1" applyAlignment="1">
      <alignment/>
    </xf>
    <xf numFmtId="164" fontId="2" fillId="25" borderId="0" xfId="0" applyNumberFormat="1" applyFont="1" applyFill="1" applyBorder="1" applyAlignment="1">
      <alignment/>
    </xf>
    <xf numFmtId="169" fontId="2" fillId="25" borderId="0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horizontal="left" wrapText="1" indent="1"/>
    </xf>
    <xf numFmtId="0" fontId="49" fillId="0" borderId="14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 indent="1"/>
    </xf>
    <xf numFmtId="167" fontId="9" fillId="0" borderId="14" xfId="91" applyNumberFormat="1" applyFont="1" applyFill="1" applyBorder="1" applyAlignment="1" applyProtection="1">
      <alignment horizontal="left" vertical="center" wrapText="1" indent="1"/>
      <protection hidden="1"/>
    </xf>
    <xf numFmtId="164" fontId="35" fillId="0" borderId="14" xfId="0" applyNumberFormat="1" applyFont="1" applyFill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/>
    </xf>
    <xf numFmtId="164" fontId="35" fillId="3" borderId="14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0" fontId="38" fillId="0" borderId="14" xfId="0" applyFont="1" applyFill="1" applyBorder="1" applyAlignment="1">
      <alignment horizontal="right" vertical="center" wrapText="1"/>
    </xf>
    <xf numFmtId="49" fontId="49" fillId="0" borderId="14" xfId="0" applyNumberFormat="1" applyFont="1" applyFill="1" applyBorder="1" applyAlignment="1">
      <alignment horizontal="center"/>
    </xf>
    <xf numFmtId="164" fontId="49" fillId="0" borderId="14" xfId="0" applyNumberFormat="1" applyFont="1" applyFill="1" applyBorder="1" applyAlignment="1">
      <alignment/>
    </xf>
    <xf numFmtId="164" fontId="49" fillId="3" borderId="14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 horizontal="right" wrapText="1"/>
    </xf>
    <xf numFmtId="164" fontId="39" fillId="0" borderId="14" xfId="0" applyNumberFormat="1" applyFont="1" applyFill="1" applyBorder="1" applyAlignment="1">
      <alignment horizontal="right" wrapText="1"/>
    </xf>
    <xf numFmtId="164" fontId="38" fillId="0" borderId="14" xfId="0" applyNumberFormat="1" applyFont="1" applyFill="1" applyBorder="1" applyAlignment="1">
      <alignment horizontal="right" wrapText="1"/>
    </xf>
    <xf numFmtId="0" fontId="12" fillId="0" borderId="14" xfId="0" applyFont="1" applyFill="1" applyBorder="1" applyAlignment="1">
      <alignment vertical="center" wrapText="1"/>
    </xf>
    <xf numFmtId="164" fontId="38" fillId="0" borderId="14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12" fillId="0" borderId="14" xfId="0" applyFont="1" applyFill="1" applyBorder="1" applyAlignment="1">
      <alignment horizontal="center" wrapText="1"/>
    </xf>
    <xf numFmtId="49" fontId="12" fillId="3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40" fillId="0" borderId="14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/>
    </xf>
    <xf numFmtId="164" fontId="40" fillId="14" borderId="14" xfId="0" applyNumberFormat="1" applyFont="1" applyFill="1" applyBorder="1" applyAlignment="1">
      <alignment/>
    </xf>
    <xf numFmtId="164" fontId="40" fillId="3" borderId="14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 indent="1"/>
    </xf>
    <xf numFmtId="167" fontId="12" fillId="0" borderId="14" xfId="91" applyNumberFormat="1" applyFont="1" applyFill="1" applyBorder="1" applyAlignment="1" applyProtection="1">
      <alignment horizontal="left" vertical="center" wrapText="1" indent="1"/>
      <protection hidden="1"/>
    </xf>
    <xf numFmtId="167" fontId="9" fillId="0" borderId="14" xfId="91" applyNumberFormat="1" applyFont="1" applyFill="1" applyBorder="1" applyAlignment="1" applyProtection="1">
      <alignment horizontal="left" vertical="center" wrapText="1"/>
      <protection hidden="1"/>
    </xf>
    <xf numFmtId="0" fontId="38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2" fillId="14" borderId="14" xfId="0" applyNumberFormat="1" applyFont="1" applyFill="1" applyBorder="1" applyAlignment="1">
      <alignment horizontal="right" vertical="center" wrapText="1"/>
    </xf>
    <xf numFmtId="164" fontId="38" fillId="14" borderId="14" xfId="0" applyNumberFormat="1" applyFont="1" applyFill="1" applyBorder="1" applyAlignment="1">
      <alignment horizontal="right" vertical="center" wrapText="1"/>
    </xf>
    <xf numFmtId="164" fontId="12" fillId="14" borderId="14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38" fillId="0" borderId="14" xfId="0" applyFont="1" applyFill="1" applyBorder="1" applyAlignment="1">
      <alignment horizontal="right" vertical="center" wrapText="1" inden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64" fontId="3" fillId="14" borderId="14" xfId="0" applyNumberFormat="1" applyFont="1" applyFill="1" applyBorder="1" applyAlignment="1">
      <alignment vertical="center"/>
    </xf>
    <xf numFmtId="164" fontId="49" fillId="0" borderId="14" xfId="0" applyNumberFormat="1" applyFont="1" applyFill="1" applyBorder="1" applyAlignment="1">
      <alignment vertical="center"/>
    </xf>
    <xf numFmtId="49" fontId="49" fillId="0" borderId="14" xfId="0" applyNumberFormat="1" applyFont="1" applyFill="1" applyBorder="1" applyAlignment="1">
      <alignment vertical="center"/>
    </xf>
    <xf numFmtId="164" fontId="49" fillId="14" borderId="14" xfId="0" applyNumberFormat="1" applyFont="1" applyFill="1" applyBorder="1" applyAlignment="1">
      <alignment vertical="center"/>
    </xf>
    <xf numFmtId="164" fontId="49" fillId="0" borderId="0" xfId="0" applyNumberFormat="1" applyFont="1" applyFill="1" applyBorder="1" applyAlignment="1">
      <alignment vertical="center"/>
    </xf>
    <xf numFmtId="164" fontId="39" fillId="0" borderId="14" xfId="0" applyNumberFormat="1" applyFont="1" applyFill="1" applyBorder="1" applyAlignment="1">
      <alignment vertical="center"/>
    </xf>
    <xf numFmtId="49" fontId="39" fillId="0" borderId="14" xfId="0" applyNumberFormat="1" applyFont="1" applyFill="1" applyBorder="1" applyAlignment="1">
      <alignment vertical="center"/>
    </xf>
    <xf numFmtId="164" fontId="39" fillId="14" borderId="14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14" borderId="14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164" fontId="38" fillId="0" borderId="14" xfId="0" applyNumberFormat="1" applyFont="1" applyFill="1" applyBorder="1" applyAlignment="1">
      <alignment horizontal="center" vertical="center" wrapText="1"/>
    </xf>
    <xf numFmtId="164" fontId="38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164" fontId="38" fillId="14" borderId="14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vertical="center"/>
    </xf>
    <xf numFmtId="164" fontId="12" fillId="14" borderId="14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22" fontId="12" fillId="0" borderId="14" xfId="0" applyNumberFormat="1" applyFont="1" applyFill="1" applyBorder="1" applyAlignment="1">
      <alignment vertical="center"/>
    </xf>
    <xf numFmtId="22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vertical="center"/>
    </xf>
    <xf numFmtId="164" fontId="9" fillId="14" borderId="14" xfId="0" applyNumberFormat="1" applyFont="1" applyFill="1" applyBorder="1" applyAlignment="1">
      <alignment vertical="center"/>
    </xf>
    <xf numFmtId="164" fontId="44" fillId="0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vertical="center"/>
    </xf>
    <xf numFmtId="164" fontId="44" fillId="14" borderId="14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12" fillId="0" borderId="14" xfId="92" applyNumberFormat="1" applyFont="1" applyFill="1" applyBorder="1" applyAlignment="1" applyProtection="1">
      <alignment horizontal="left" vertical="center" wrapText="1" indent="1"/>
      <protection locked="0"/>
    </xf>
    <xf numFmtId="1" fontId="38" fillId="0" borderId="14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 indent="1"/>
    </xf>
    <xf numFmtId="164" fontId="12" fillId="0" borderId="14" xfId="0" applyNumberFormat="1" applyFont="1" applyFill="1" applyBorder="1" applyAlignment="1">
      <alignment horizontal="left" wrapText="1" indent="1"/>
    </xf>
    <xf numFmtId="0" fontId="38" fillId="0" borderId="1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vertical="center" wrapText="1"/>
    </xf>
    <xf numFmtId="164" fontId="35" fillId="0" borderId="14" xfId="0" applyNumberFormat="1" applyFont="1" applyFill="1" applyBorder="1" applyAlignment="1">
      <alignment horizontal="right" vertical="center" wrapText="1"/>
    </xf>
    <xf numFmtId="164" fontId="35" fillId="14" borderId="14" xfId="0" applyNumberFormat="1" applyFont="1" applyFill="1" applyBorder="1" applyAlignment="1">
      <alignment horizontal="right" vertical="center" wrapText="1"/>
    </xf>
    <xf numFmtId="0" fontId="12" fillId="0" borderId="14" xfId="101" applyNumberFormat="1" applyFont="1" applyFill="1" applyBorder="1" applyAlignment="1">
      <alignment horizontal="left" vertical="center" wrapText="1" indent="1"/>
    </xf>
    <xf numFmtId="0" fontId="3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2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164" fontId="50" fillId="0" borderId="14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center"/>
    </xf>
    <xf numFmtId="164" fontId="50" fillId="0" borderId="14" xfId="0" applyNumberFormat="1" applyFont="1" applyFill="1" applyBorder="1" applyAlignment="1">
      <alignment vertical="center"/>
    </xf>
    <xf numFmtId="164" fontId="50" fillId="14" borderId="14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>
      <alignment vertical="center"/>
    </xf>
    <xf numFmtId="164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vertical="center"/>
    </xf>
    <xf numFmtId="164" fontId="40" fillId="0" borderId="14" xfId="0" applyNumberFormat="1" applyFont="1" applyFill="1" applyBorder="1" applyAlignment="1">
      <alignment vertical="center"/>
    </xf>
    <xf numFmtId="164" fontId="40" fillId="14" borderId="14" xfId="0" applyNumberFormat="1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vertical="center"/>
    </xf>
    <xf numFmtId="164" fontId="43" fillId="14" borderId="14" xfId="0" applyNumberFormat="1" applyFont="1" applyFill="1" applyBorder="1" applyAlignment="1">
      <alignment vertical="center"/>
    </xf>
    <xf numFmtId="164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164" fontId="40" fillId="0" borderId="14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vertical="center"/>
    </xf>
    <xf numFmtId="164" fontId="45" fillId="0" borderId="0" xfId="0" applyNumberFormat="1" applyFont="1" applyFill="1" applyBorder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horizontal="left" vertical="center" wrapText="1" indent="1"/>
    </xf>
    <xf numFmtId="0" fontId="12" fillId="0" borderId="14" xfId="0" applyNumberFormat="1" applyFont="1" applyFill="1" applyBorder="1" applyAlignment="1">
      <alignment horizontal="left" vertical="center" wrapText="1" indent="1"/>
    </xf>
    <xf numFmtId="49" fontId="3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4" xfId="0" applyNumberFormat="1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 indent="1"/>
    </xf>
    <xf numFmtId="0" fontId="38" fillId="0" borderId="14" xfId="101" applyNumberFormat="1" applyFont="1" applyFill="1" applyBorder="1" applyAlignment="1">
      <alignment horizontal="left" vertical="center" wrapText="1" indent="1"/>
    </xf>
    <xf numFmtId="164" fontId="12" fillId="14" borderId="0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horizontal="left" wrapText="1" indent="1"/>
    </xf>
    <xf numFmtId="164" fontId="1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164" fontId="2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 horizontal="left" wrapText="1" indent="1"/>
    </xf>
    <xf numFmtId="16" fontId="9" fillId="0" borderId="14" xfId="0" applyNumberFormat="1" applyFont="1" applyFill="1" applyBorder="1" applyAlignment="1">
      <alignment horizontal="left" wrapText="1" indent="1"/>
    </xf>
    <xf numFmtId="49" fontId="35" fillId="3" borderId="14" xfId="0" applyNumberFormat="1" applyFont="1" applyFill="1" applyBorder="1" applyAlignment="1">
      <alignment/>
    </xf>
    <xf numFmtId="49" fontId="49" fillId="3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right" wrapText="1"/>
    </xf>
    <xf numFmtId="164" fontId="35" fillId="0" borderId="14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right" wrapText="1"/>
    </xf>
    <xf numFmtId="0" fontId="38" fillId="0" borderId="14" xfId="0" applyFont="1" applyFill="1" applyBorder="1" applyAlignment="1">
      <alignment horizontal="left" wrapText="1" indent="1"/>
    </xf>
    <xf numFmtId="164" fontId="4" fillId="0" borderId="14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right" wrapText="1" indent="1"/>
    </xf>
    <xf numFmtId="164" fontId="2" fillId="0" borderId="14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 wrapText="1"/>
    </xf>
    <xf numFmtId="164" fontId="54" fillId="0" borderId="14" xfId="0" applyNumberFormat="1" applyFont="1" applyFill="1" applyBorder="1" applyAlignment="1">
      <alignment/>
    </xf>
    <xf numFmtId="164" fontId="56" fillId="0" borderId="14" xfId="0" applyNumberFormat="1" applyFont="1" applyFill="1" applyBorder="1" applyAlignment="1">
      <alignment horizontal="center" vertical="center" wrapText="1"/>
    </xf>
    <xf numFmtId="164" fontId="56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164" fontId="56" fillId="0" borderId="14" xfId="0" applyNumberFormat="1" applyFont="1" applyFill="1" applyBorder="1" applyAlignment="1">
      <alignment vertical="center"/>
    </xf>
    <xf numFmtId="164" fontId="56" fillId="14" borderId="14" xfId="0" applyNumberFormat="1" applyFont="1" applyFill="1" applyBorder="1" applyAlignment="1">
      <alignment vertical="center"/>
    </xf>
    <xf numFmtId="4" fontId="56" fillId="0" borderId="14" xfId="0" applyNumberFormat="1" applyFont="1" applyFill="1" applyBorder="1" applyAlignment="1">
      <alignment vertical="center"/>
    </xf>
    <xf numFmtId="49" fontId="56" fillId="0" borderId="14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4" fontId="57" fillId="3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indent="1"/>
    </xf>
    <xf numFmtId="164" fontId="57" fillId="0" borderId="14" xfId="0" applyNumberFormat="1" applyFont="1" applyFill="1" applyBorder="1" applyAlignment="1">
      <alignment vertical="center"/>
    </xf>
    <xf numFmtId="164" fontId="57" fillId="3" borderId="14" xfId="0" applyNumberFormat="1" applyFont="1" applyFill="1" applyBorder="1" applyAlignment="1">
      <alignment vertical="center"/>
    </xf>
    <xf numFmtId="164" fontId="55" fillId="0" borderId="14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14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49" fillId="0" borderId="14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vertical="center"/>
    </xf>
    <xf numFmtId="164" fontId="49" fillId="14" borderId="0" xfId="0" applyNumberFormat="1" applyFont="1" applyFill="1" applyBorder="1" applyAlignment="1">
      <alignment vertical="center"/>
    </xf>
    <xf numFmtId="164" fontId="39" fillId="0" borderId="14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 vertical="center"/>
    </xf>
    <xf numFmtId="164" fontId="39" fillId="14" borderId="0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64" fontId="35" fillId="14" borderId="14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2" fillId="14" borderId="14" xfId="0" applyNumberFormat="1" applyFont="1" applyFill="1" applyBorder="1" applyAlignment="1">
      <alignment horizontal="right" vertical="center"/>
    </xf>
    <xf numFmtId="164" fontId="12" fillId="3" borderId="14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49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164" fontId="49" fillId="14" borderId="14" xfId="0" applyNumberFormat="1" applyFont="1" applyFill="1" applyBorder="1" applyAlignment="1">
      <alignment horizontal="right" vertical="center"/>
    </xf>
    <xf numFmtId="164" fontId="49" fillId="3" borderId="14" xfId="0" applyNumberFormat="1" applyFont="1" applyFill="1" applyBorder="1" applyAlignment="1">
      <alignment vertical="center"/>
    </xf>
    <xf numFmtId="164" fontId="39" fillId="0" borderId="14" xfId="0" applyNumberFormat="1" applyFont="1" applyFill="1" applyBorder="1" applyAlignment="1">
      <alignment horizontal="center" vertical="center" wrapText="1"/>
    </xf>
    <xf numFmtId="164" fontId="39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164" fontId="39" fillId="14" borderId="14" xfId="0" applyNumberFormat="1" applyFont="1" applyFill="1" applyBorder="1" applyAlignment="1">
      <alignment horizontal="right" vertical="center"/>
    </xf>
    <xf numFmtId="164" fontId="39" fillId="3" borderId="14" xfId="0" applyNumberFormat="1" applyFont="1" applyFill="1" applyBorder="1" applyAlignment="1">
      <alignment vertical="center"/>
    </xf>
    <xf numFmtId="164" fontId="39" fillId="0" borderId="14" xfId="0" applyNumberFormat="1" applyFont="1" applyFill="1" applyBorder="1" applyAlignment="1">
      <alignment horizontal="right" vertical="center"/>
    </xf>
    <xf numFmtId="1" fontId="12" fillId="0" borderId="14" xfId="0" applyNumberFormat="1" applyFont="1" applyFill="1" applyBorder="1" applyAlignment="1" applyProtection="1">
      <alignment horizontal="left" vertical="center" wrapText="1"/>
      <protection/>
    </xf>
    <xf numFmtId="164" fontId="38" fillId="0" borderId="14" xfId="0" applyNumberFormat="1" applyFont="1" applyFill="1" applyBorder="1" applyAlignment="1">
      <alignment horizontal="right" vertical="center"/>
    </xf>
    <xf numFmtId="49" fontId="12" fillId="0" borderId="14" xfId="93" applyNumberFormat="1" applyFont="1" applyFill="1" applyBorder="1" applyAlignment="1" applyProtection="1">
      <alignment horizontal="left" vertical="center" wrapText="1"/>
      <protection locked="0"/>
    </xf>
    <xf numFmtId="49" fontId="12" fillId="0" borderId="14" xfId="93" applyNumberFormat="1" applyFont="1" applyFill="1" applyBorder="1" applyAlignment="1" applyProtection="1">
      <alignment horizontal="left" vertical="center" wrapText="1"/>
      <protection locked="0"/>
    </xf>
    <xf numFmtId="1" fontId="51" fillId="0" borderId="14" xfId="0" applyNumberFormat="1" applyFont="1" applyFill="1" applyBorder="1" applyAlignment="1" applyProtection="1">
      <alignment horizontal="left" vertical="center" wrapText="1"/>
      <protection/>
    </xf>
    <xf numFmtId="1" fontId="12" fillId="0" borderId="14" xfId="92" applyNumberFormat="1" applyFont="1" applyFill="1" applyBorder="1" applyAlignment="1" applyProtection="1">
      <alignment horizontal="left" vertical="center" wrapText="1"/>
      <protection/>
    </xf>
    <xf numFmtId="1" fontId="38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64" fontId="49" fillId="3" borderId="14" xfId="0" applyNumberFormat="1" applyFont="1" applyFill="1" applyBorder="1" applyAlignment="1">
      <alignment horizontal="center" wrapText="1"/>
    </xf>
    <xf numFmtId="164" fontId="49" fillId="3" borderId="14" xfId="0" applyNumberFormat="1" applyFont="1" applyFill="1" applyBorder="1" applyAlignment="1">
      <alignment/>
    </xf>
    <xf numFmtId="164" fontId="38" fillId="3" borderId="14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164" fontId="9" fillId="14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38" fillId="14" borderId="14" xfId="0" applyNumberFormat="1" applyFont="1" applyFill="1" applyBorder="1" applyAlignment="1">
      <alignment horizontal="right"/>
    </xf>
    <xf numFmtId="164" fontId="38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0" applyFont="1" applyFill="1" applyBorder="1" applyAlignment="1">
      <alignment horizontal="left" vertical="center" wrapText="1" indent="1"/>
    </xf>
    <xf numFmtId="164" fontId="37" fillId="0" borderId="14" xfId="0" applyNumberFormat="1" applyFont="1" applyFill="1" applyBorder="1" applyAlignment="1">
      <alignment/>
    </xf>
    <xf numFmtId="49" fontId="37" fillId="0" borderId="14" xfId="0" applyNumberFormat="1" applyFont="1" applyFill="1" applyBorder="1" applyAlignment="1">
      <alignment horizontal="center"/>
    </xf>
    <xf numFmtId="164" fontId="42" fillId="0" borderId="14" xfId="0" applyNumberFormat="1" applyFont="1" applyFill="1" applyBorder="1" applyAlignment="1">
      <alignment/>
    </xf>
    <xf numFmtId="49" fontId="42" fillId="0" borderId="14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 indent="1"/>
    </xf>
    <xf numFmtId="164" fontId="43" fillId="0" borderId="0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 wrapText="1"/>
    </xf>
    <xf numFmtId="3" fontId="43" fillId="0" borderId="14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left" wrapText="1"/>
    </xf>
    <xf numFmtId="164" fontId="34" fillId="0" borderId="14" xfId="0" applyNumberFormat="1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 indent="1"/>
    </xf>
    <xf numFmtId="0" fontId="12" fillId="0" borderId="14" xfId="0" applyFont="1" applyBorder="1" applyAlignment="1">
      <alignment horizontal="left" wrapText="1" indent="1"/>
    </xf>
    <xf numFmtId="164" fontId="34" fillId="0" borderId="14" xfId="0" applyNumberFormat="1" applyFont="1" applyFill="1" applyBorder="1" applyAlignment="1">
      <alignment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vertical="center"/>
    </xf>
    <xf numFmtId="0" fontId="43" fillId="0" borderId="14" xfId="0" applyNumberFormat="1" applyFont="1" applyFill="1" applyBorder="1" applyAlignment="1">
      <alignment vertical="center" wrapText="1"/>
    </xf>
    <xf numFmtId="3" fontId="43" fillId="0" borderId="14" xfId="0" applyNumberFormat="1" applyFont="1" applyFill="1" applyBorder="1" applyAlignment="1">
      <alignment vertical="center"/>
    </xf>
    <xf numFmtId="0" fontId="35" fillId="0" borderId="14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right" vertical="center"/>
    </xf>
    <xf numFmtId="164" fontId="34" fillId="3" borderId="14" xfId="0" applyNumberFormat="1" applyFont="1" applyFill="1" applyBorder="1" applyAlignment="1">
      <alignment wrapText="1"/>
    </xf>
    <xf numFmtId="164" fontId="35" fillId="3" borderId="0" xfId="0" applyNumberFormat="1" applyFont="1" applyFill="1" applyBorder="1" applyAlignment="1">
      <alignment/>
    </xf>
    <xf numFmtId="49" fontId="35" fillId="0" borderId="14" xfId="0" applyNumberFormat="1" applyFont="1" applyFill="1" applyBorder="1" applyAlignment="1">
      <alignment vertical="center"/>
    </xf>
    <xf numFmtId="164" fontId="49" fillId="0" borderId="14" xfId="0" applyNumberFormat="1" applyFont="1" applyFill="1" applyBorder="1" applyAlignment="1">
      <alignment horizontal="right" vertical="center"/>
    </xf>
    <xf numFmtId="164" fontId="49" fillId="3" borderId="14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textRotation="90" wrapText="1"/>
    </xf>
    <xf numFmtId="0" fontId="2" fillId="0" borderId="19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textRotation="90" wrapText="1"/>
    </xf>
    <xf numFmtId="0" fontId="6" fillId="3" borderId="19" xfId="0" applyFont="1" applyFill="1" applyBorder="1" applyAlignment="1">
      <alignment textRotation="90" wrapText="1"/>
    </xf>
    <xf numFmtId="0" fontId="6" fillId="3" borderId="13" xfId="0" applyFont="1" applyFill="1" applyBorder="1" applyAlignment="1">
      <alignment textRotation="90" wrapText="1"/>
    </xf>
    <xf numFmtId="49" fontId="14" fillId="0" borderId="12" xfId="0" applyNumberFormat="1" applyFont="1" applyFill="1" applyBorder="1" applyAlignment="1">
      <alignment horizontal="center" vertical="center" textRotation="90" wrapText="1"/>
    </xf>
    <xf numFmtId="49" fontId="14" fillId="0" borderId="19" xfId="0" applyNumberFormat="1" applyFont="1" applyFill="1" applyBorder="1" applyAlignment="1">
      <alignment horizontal="center" vertical="center" textRotation="90" wrapText="1"/>
    </xf>
    <xf numFmtId="49" fontId="14" fillId="0" borderId="13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textRotation="90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</cellXfs>
  <cellStyles count="90">
    <cellStyle name="Normal" xfId="0"/>
    <cellStyle name="20% - Акцент1" xfId="15"/>
    <cellStyle name="20% — Акцент1" xfId="16"/>
    <cellStyle name="20% - Акцент1_накопитель" xfId="17"/>
    <cellStyle name="20% - Акцент2" xfId="18"/>
    <cellStyle name="20% — Акцент2" xfId="19"/>
    <cellStyle name="20% - Акцент2_накопитель" xfId="20"/>
    <cellStyle name="20% - Акцент3" xfId="21"/>
    <cellStyle name="20% — Акцент3" xfId="22"/>
    <cellStyle name="20% - Акцент3_накопитель" xfId="23"/>
    <cellStyle name="20% - Акцент4" xfId="24"/>
    <cellStyle name="20% — Акцент4" xfId="25"/>
    <cellStyle name="20% - Акцент4_накопитель" xfId="26"/>
    <cellStyle name="20% - Акцент5" xfId="27"/>
    <cellStyle name="20% — Акцент5" xfId="28"/>
    <cellStyle name="20% - Акцент5_накопитель" xfId="29"/>
    <cellStyle name="20% - Акцент6" xfId="30"/>
    <cellStyle name="20% — Акцент6" xfId="31"/>
    <cellStyle name="20% - Акцент6_накопитель" xfId="32"/>
    <cellStyle name="40% - Акцент1" xfId="33"/>
    <cellStyle name="40% — Акцент1" xfId="34"/>
    <cellStyle name="40% - Акцент1_накопитель" xfId="35"/>
    <cellStyle name="40% - Акцент2" xfId="36"/>
    <cellStyle name="40% — Акцент2" xfId="37"/>
    <cellStyle name="40% - Акцент2_накопитель" xfId="38"/>
    <cellStyle name="40% - Акцент3" xfId="39"/>
    <cellStyle name="40% — Акцент3" xfId="40"/>
    <cellStyle name="40% - Акцент3_накопитель" xfId="41"/>
    <cellStyle name="40% - Акцент4" xfId="42"/>
    <cellStyle name="40% — Акцент4" xfId="43"/>
    <cellStyle name="40% - Акцент4_накопитель" xfId="44"/>
    <cellStyle name="40% - Акцент5" xfId="45"/>
    <cellStyle name="40% — Акцент5" xfId="46"/>
    <cellStyle name="40% - Акцент5_накопитель" xfId="47"/>
    <cellStyle name="40% - Акцент6" xfId="48"/>
    <cellStyle name="40% — Акцент6" xfId="49"/>
    <cellStyle name="40% - Акцент6_накопитель" xfId="50"/>
    <cellStyle name="60% - Акцент1" xfId="51"/>
    <cellStyle name="60% — Акцент1" xfId="52"/>
    <cellStyle name="60% - Акцент1_накопитель" xfId="53"/>
    <cellStyle name="60% - Акцент2" xfId="54"/>
    <cellStyle name="60% — Акцент2" xfId="55"/>
    <cellStyle name="60% - Акцент2_накопитель" xfId="56"/>
    <cellStyle name="60% - Акцент3" xfId="57"/>
    <cellStyle name="60% — Акцент3" xfId="58"/>
    <cellStyle name="60% - Акцент3_накопитель" xfId="59"/>
    <cellStyle name="60% - Акцент4" xfId="60"/>
    <cellStyle name="60% — Акцент4" xfId="61"/>
    <cellStyle name="60% - Акцент4_накопитель" xfId="62"/>
    <cellStyle name="60% - Акцент5" xfId="63"/>
    <cellStyle name="60% — Акцент5" xfId="64"/>
    <cellStyle name="60% - Акцент5_накопитель" xfId="65"/>
    <cellStyle name="60% - Акцент6" xfId="66"/>
    <cellStyle name="60% — Акцент6" xfId="67"/>
    <cellStyle name="60% - Акцент6_накопитель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аметка" xfId="86"/>
    <cellStyle name="Итог" xfId="87"/>
    <cellStyle name="Контрольная ячейка" xfId="88"/>
    <cellStyle name="Название" xfId="89"/>
    <cellStyle name="Нейтральный" xfId="90"/>
    <cellStyle name="Обычный_tmp" xfId="91"/>
    <cellStyle name="Обычный_накопитель" xfId="92"/>
    <cellStyle name="Обычный_Приложение № 3- расходы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X228"/>
  <sheetViews>
    <sheetView workbookViewId="0" topLeftCell="A1">
      <selection activeCell="H194" sqref="H194"/>
    </sheetView>
  </sheetViews>
  <sheetFormatPr defaultColWidth="9.00390625" defaultRowHeight="12.75"/>
  <cols>
    <col min="1" max="1" width="49.00390625" style="1" customWidth="1"/>
    <col min="2" max="2" width="9.625" style="1" customWidth="1"/>
    <col min="3" max="3" width="5.00390625" style="2" customWidth="1"/>
    <col min="4" max="4" width="3.25390625" style="1" customWidth="1"/>
    <col min="5" max="5" width="3.625" style="2" customWidth="1"/>
    <col min="6" max="6" width="4.125" style="2" customWidth="1"/>
    <col min="7" max="7" width="11.25390625" style="1" customWidth="1"/>
    <col min="8" max="8" width="8.375" style="1" customWidth="1"/>
    <col min="9" max="9" width="11.625" style="1" customWidth="1"/>
    <col min="10" max="10" width="8.875" style="1" customWidth="1"/>
    <col min="11" max="11" width="9.375" style="1" customWidth="1"/>
    <col min="12" max="12" width="12.375" style="1" customWidth="1"/>
    <col min="13" max="13" width="8.625" style="1" customWidth="1"/>
    <col min="14" max="14" width="10.625" style="196" customWidth="1"/>
    <col min="15" max="15" width="9.125" style="233" customWidth="1"/>
    <col min="16" max="16" width="10.125" style="233" customWidth="1"/>
    <col min="17" max="17" width="11.75390625" style="234" customWidth="1"/>
    <col min="18" max="18" width="8.875" style="234" customWidth="1"/>
    <col min="19" max="19" width="13.25390625" style="235" customWidth="1"/>
    <col min="20" max="20" width="10.875" style="233" customWidth="1"/>
    <col min="21" max="21" width="9.375" style="233" customWidth="1"/>
    <col min="22" max="22" width="5.25390625" style="234" customWidth="1"/>
    <col min="23" max="23" width="7.75390625" style="1" customWidth="1"/>
    <col min="24" max="16384" width="9.125" style="1" customWidth="1"/>
  </cols>
  <sheetData>
    <row r="1" spans="1:22" ht="12.75">
      <c r="A1" s="532" t="s">
        <v>297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1"/>
    </row>
    <row r="2" spans="1:22" ht="12.75">
      <c r="A2" s="532" t="s">
        <v>158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1"/>
    </row>
    <row r="3" spans="15:22" ht="12.75">
      <c r="O3" s="89"/>
      <c r="P3" s="89"/>
      <c r="Q3" s="1"/>
      <c r="R3" s="1"/>
      <c r="S3" s="196"/>
      <c r="T3" s="89"/>
      <c r="U3" s="1" t="s">
        <v>370</v>
      </c>
      <c r="V3" s="1"/>
    </row>
    <row r="4" spans="1:23" s="39" customFormat="1" ht="12.75">
      <c r="A4" s="545"/>
      <c r="B4" s="536" t="s">
        <v>308</v>
      </c>
      <c r="C4" s="536" t="s">
        <v>309</v>
      </c>
      <c r="D4" s="536" t="s">
        <v>310</v>
      </c>
      <c r="E4" s="536" t="s">
        <v>311</v>
      </c>
      <c r="F4" s="536" t="s">
        <v>312</v>
      </c>
      <c r="G4" s="35"/>
      <c r="H4" s="194"/>
      <c r="I4" s="36" t="s">
        <v>24</v>
      </c>
      <c r="J4" s="194"/>
      <c r="K4" s="37"/>
      <c r="L4" s="35"/>
      <c r="M4" s="194"/>
      <c r="N4" s="198" t="s">
        <v>25</v>
      </c>
      <c r="O4" s="199"/>
      <c r="P4" s="200"/>
      <c r="Q4" s="35"/>
      <c r="R4" s="197"/>
      <c r="S4" s="201" t="s">
        <v>26</v>
      </c>
      <c r="T4" s="202"/>
      <c r="U4" s="202"/>
      <c r="V4" s="533" t="s">
        <v>66</v>
      </c>
      <c r="W4" s="533" t="s">
        <v>17</v>
      </c>
    </row>
    <row r="5" spans="1:23" s="39" customFormat="1" ht="12.75">
      <c r="A5" s="546"/>
      <c r="B5" s="537"/>
      <c r="C5" s="537"/>
      <c r="D5" s="537"/>
      <c r="E5" s="537"/>
      <c r="F5" s="537"/>
      <c r="G5" s="40"/>
      <c r="H5" s="35"/>
      <c r="I5" s="539" t="s">
        <v>27</v>
      </c>
      <c r="J5" s="540"/>
      <c r="K5" s="541"/>
      <c r="L5" s="40"/>
      <c r="M5" s="35"/>
      <c r="N5" s="542" t="s">
        <v>27</v>
      </c>
      <c r="O5" s="543"/>
      <c r="P5" s="544"/>
      <c r="Q5" s="40"/>
      <c r="R5" s="35"/>
      <c r="S5" s="542" t="s">
        <v>27</v>
      </c>
      <c r="T5" s="543"/>
      <c r="U5" s="544"/>
      <c r="V5" s="534"/>
      <c r="W5" s="534"/>
    </row>
    <row r="6" spans="1:23" s="39" customFormat="1" ht="38.25">
      <c r="A6" s="547"/>
      <c r="B6" s="538"/>
      <c r="C6" s="538"/>
      <c r="D6" s="538"/>
      <c r="E6" s="538"/>
      <c r="F6" s="538"/>
      <c r="G6" s="41" t="s">
        <v>28</v>
      </c>
      <c r="H6" s="41" t="s">
        <v>85</v>
      </c>
      <c r="I6" s="33" t="s">
        <v>29</v>
      </c>
      <c r="J6" s="195" t="s">
        <v>30</v>
      </c>
      <c r="K6" s="195" t="s">
        <v>124</v>
      </c>
      <c r="L6" s="420" t="s">
        <v>65</v>
      </c>
      <c r="M6" s="41" t="s">
        <v>85</v>
      </c>
      <c r="N6" s="203" t="s">
        <v>29</v>
      </c>
      <c r="O6" s="195" t="s">
        <v>30</v>
      </c>
      <c r="P6" s="195" t="s">
        <v>124</v>
      </c>
      <c r="Q6" s="420" t="s">
        <v>65</v>
      </c>
      <c r="R6" s="41" t="s">
        <v>85</v>
      </c>
      <c r="S6" s="203" t="s">
        <v>29</v>
      </c>
      <c r="T6" s="195" t="s">
        <v>30</v>
      </c>
      <c r="U6" s="195" t="s">
        <v>124</v>
      </c>
      <c r="V6" s="535"/>
      <c r="W6" s="535"/>
    </row>
    <row r="7" spans="1:24" ht="25.5">
      <c r="A7" s="204" t="s">
        <v>298</v>
      </c>
      <c r="B7" s="45"/>
      <c r="C7" s="44"/>
      <c r="D7" s="45"/>
      <c r="E7" s="44"/>
      <c r="F7" s="44"/>
      <c r="G7" s="46">
        <f>I7+J7+0.1</f>
        <v>4260959.6</v>
      </c>
      <c r="H7" s="205">
        <f>H10+H62+H91+H109+H118+H138+H148+H171</f>
        <v>22192.5</v>
      </c>
      <c r="I7" s="205">
        <f>I10+I62+I91+I109+I118+I138+I148+I171</f>
        <v>4202732.1</v>
      </c>
      <c r="J7" s="205">
        <f>J10+J62+J91+J109+J118+J138+J148+J171</f>
        <v>58227.399999999994</v>
      </c>
      <c r="K7" s="205">
        <f>K10+K62+K91+K109+K118+K138+K148+K171</f>
        <v>53277.6</v>
      </c>
      <c r="L7" s="46">
        <f>N7+O7+0.1</f>
        <v>2947725.1</v>
      </c>
      <c r="M7" s="205">
        <f>M10+M62+M91+M109+M118+M138+M148+M171</f>
        <v>16616.7</v>
      </c>
      <c r="N7" s="205">
        <f>N10+N62+N91+N109+N118+N138+N148+N171</f>
        <v>2914099.6</v>
      </c>
      <c r="O7" s="205">
        <f>O10+O62+O91+O109+O118+O138+O148+O171</f>
        <v>33625.4</v>
      </c>
      <c r="P7" s="205">
        <f>P10+P62+P91+P109+P118+P138+P148+P171</f>
        <v>46502.5</v>
      </c>
      <c r="Q7" s="46">
        <f>S7+T7+0.1</f>
        <v>3673950.262999022</v>
      </c>
      <c r="R7" s="205">
        <f>R10+R62+R91+R109+R118+R138+R148+R171</f>
        <v>4791</v>
      </c>
      <c r="S7" s="205">
        <f>S10+S62+S91+S109+S118+S138+S148+S171</f>
        <v>3286034.8999999994</v>
      </c>
      <c r="T7" s="205">
        <f>T10+T62+T91+T109+T118+T138+T148+T171</f>
        <v>387915.2629990224</v>
      </c>
      <c r="U7" s="205">
        <f>U10+U62+U91+U109+U118+U138+U148+U171</f>
        <v>46502.5</v>
      </c>
      <c r="V7" s="206">
        <f>(N7/I7)*100</f>
        <v>69.33821929787055</v>
      </c>
      <c r="W7" s="206">
        <f>(S7/N7)*100</f>
        <v>112.76330088374465</v>
      </c>
      <c r="X7" s="70"/>
    </row>
    <row r="8" spans="1:24" s="247" customFormat="1" ht="12.75">
      <c r="A8" s="253" t="s">
        <v>196</v>
      </c>
      <c r="B8" s="372"/>
      <c r="C8" s="523"/>
      <c r="D8" s="372"/>
      <c r="E8" s="523"/>
      <c r="F8" s="523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>
        <f>S8+T8</f>
        <v>48334.4</v>
      </c>
      <c r="R8" s="525"/>
      <c r="S8" s="525">
        <f>S11+S63+S110</f>
        <v>46908.8</v>
      </c>
      <c r="T8" s="525">
        <f>T11+T63+T110</f>
        <v>1425.6</v>
      </c>
      <c r="U8" s="525"/>
      <c r="V8" s="251"/>
      <c r="W8" s="246"/>
      <c r="X8" s="522"/>
    </row>
    <row r="9" spans="1:24" s="89" customFormat="1" ht="12.75">
      <c r="A9" s="254" t="s">
        <v>195</v>
      </c>
      <c r="B9" s="207"/>
      <c r="C9" s="526"/>
      <c r="D9" s="207"/>
      <c r="E9" s="526"/>
      <c r="F9" s="526"/>
      <c r="G9" s="472"/>
      <c r="H9" s="208"/>
      <c r="I9" s="208"/>
      <c r="J9" s="208"/>
      <c r="K9" s="208"/>
      <c r="L9" s="208"/>
      <c r="M9" s="208"/>
      <c r="N9" s="208"/>
      <c r="O9" s="208"/>
      <c r="P9" s="208"/>
      <c r="Q9" s="208">
        <f>S9+T9</f>
        <v>477808.00000000006</v>
      </c>
      <c r="R9" s="208"/>
      <c r="S9" s="208">
        <f>S12+S64+S92+S111+S119+S149</f>
        <v>466709.30000000005</v>
      </c>
      <c r="T9" s="208">
        <f>T12+T64+T92+T111+T119+T149</f>
        <v>11098.7</v>
      </c>
      <c r="U9" s="208"/>
      <c r="V9" s="156"/>
      <c r="W9" s="158"/>
      <c r="X9" s="159"/>
    </row>
    <row r="10" spans="1:24" ht="25.5">
      <c r="A10" s="209" t="s">
        <v>313</v>
      </c>
      <c r="B10" s="128" t="s">
        <v>314</v>
      </c>
      <c r="C10" s="210"/>
      <c r="D10" s="210"/>
      <c r="E10" s="210"/>
      <c r="F10" s="210"/>
      <c r="G10" s="84">
        <f>H10+I10+J10+K10</f>
        <v>2341313.6</v>
      </c>
      <c r="H10" s="84">
        <f>H13+H25+H36+H44+H52+H57</f>
        <v>0</v>
      </c>
      <c r="I10" s="84">
        <f>I13+I25+I36+I44+I52+I57</f>
        <v>2262508</v>
      </c>
      <c r="J10" s="84">
        <f>J13+J25+J36+J44+J52+J57</f>
        <v>35978</v>
      </c>
      <c r="K10" s="84">
        <f>K13+K25+K36+K44+K52+K57</f>
        <v>42827.6</v>
      </c>
      <c r="L10" s="84">
        <f>M10+N10+O10+P10</f>
        <v>1605550.9000000001</v>
      </c>
      <c r="M10" s="84">
        <f>M13+M25+M36+M44+M52+M57</f>
        <v>0</v>
      </c>
      <c r="N10" s="84">
        <f aca="true" t="shared" si="0" ref="N10:U10">N13+N25+N36+N44+N52+N57</f>
        <v>1539885.3</v>
      </c>
      <c r="O10" s="84">
        <f t="shared" si="0"/>
        <v>19163.1</v>
      </c>
      <c r="P10" s="84">
        <f t="shared" si="0"/>
        <v>46502.5</v>
      </c>
      <c r="Q10" s="84">
        <f t="shared" si="0"/>
        <v>2074596.4629990223</v>
      </c>
      <c r="R10" s="84">
        <f t="shared" si="0"/>
        <v>0</v>
      </c>
      <c r="S10" s="84">
        <f t="shared" si="0"/>
        <v>1660796.5</v>
      </c>
      <c r="T10" s="84">
        <f t="shared" si="0"/>
        <v>367297.46299902233</v>
      </c>
      <c r="U10" s="84">
        <f t="shared" si="0"/>
        <v>46502.5</v>
      </c>
      <c r="V10" s="84">
        <f>N10/I10*100</f>
        <v>68.06098807164439</v>
      </c>
      <c r="W10" s="84">
        <f>S10/N10*100</f>
        <v>107.85196144154372</v>
      </c>
      <c r="X10" s="70"/>
    </row>
    <row r="11" spans="1:24" s="247" customFormat="1" ht="12.75">
      <c r="A11" s="253" t="s">
        <v>196</v>
      </c>
      <c r="B11" s="268"/>
      <c r="C11" s="249"/>
      <c r="D11" s="249"/>
      <c r="E11" s="249"/>
      <c r="F11" s="249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>
        <f>S11+T11</f>
        <v>46436.8</v>
      </c>
      <c r="R11" s="251"/>
      <c r="S11" s="251">
        <f>S14+S26</f>
        <v>45043.700000000004</v>
      </c>
      <c r="T11" s="251">
        <f>T14+T26</f>
        <v>1393.1</v>
      </c>
      <c r="U11" s="251"/>
      <c r="V11" s="251"/>
      <c r="W11" s="246"/>
      <c r="X11" s="522"/>
    </row>
    <row r="12" spans="1:23" s="89" customFormat="1" ht="12.75">
      <c r="A12" s="254" t="s">
        <v>195</v>
      </c>
      <c r="B12" s="226"/>
      <c r="C12" s="168"/>
      <c r="D12" s="168"/>
      <c r="E12" s="168"/>
      <c r="F12" s="168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>
        <f>S12+T12</f>
        <v>156905.40000000002</v>
      </c>
      <c r="R12" s="135"/>
      <c r="S12" s="135">
        <f>S15+S37</f>
        <v>152214.80000000002</v>
      </c>
      <c r="T12" s="135">
        <f>T15+T37</f>
        <v>4690.6</v>
      </c>
      <c r="U12" s="135"/>
      <c r="V12" s="135"/>
      <c r="W12" s="130"/>
    </row>
    <row r="13" spans="1:23" ht="51.75" customHeight="1">
      <c r="A13" s="211" t="s">
        <v>116</v>
      </c>
      <c r="B13" s="84" t="s">
        <v>315</v>
      </c>
      <c r="C13" s="174"/>
      <c r="D13" s="82"/>
      <c r="E13" s="174"/>
      <c r="F13" s="174"/>
      <c r="G13" s="84">
        <f aca="true" t="shared" si="1" ref="G13:T13">SUM(G16)</f>
        <v>1065073.1</v>
      </c>
      <c r="H13" s="84"/>
      <c r="I13" s="84">
        <f t="shared" si="1"/>
        <v>1038241.7999999999</v>
      </c>
      <c r="J13" s="84">
        <f t="shared" si="1"/>
        <v>26831.3</v>
      </c>
      <c r="K13" s="84"/>
      <c r="L13" s="84">
        <f t="shared" si="1"/>
        <v>498725.19999999995</v>
      </c>
      <c r="M13" s="84"/>
      <c r="N13" s="84">
        <f t="shared" si="1"/>
        <v>485374.3</v>
      </c>
      <c r="O13" s="84">
        <f t="shared" si="1"/>
        <v>13350.9</v>
      </c>
      <c r="P13" s="84"/>
      <c r="Q13" s="84">
        <f t="shared" si="1"/>
        <v>906679.1</v>
      </c>
      <c r="R13" s="84"/>
      <c r="S13" s="84">
        <f t="shared" si="1"/>
        <v>547112</v>
      </c>
      <c r="T13" s="84">
        <f t="shared" si="1"/>
        <v>359567.1</v>
      </c>
      <c r="U13" s="84"/>
      <c r="V13" s="84">
        <f>N13/I13*100</f>
        <v>46.749639631153364</v>
      </c>
      <c r="W13" s="84">
        <f>S13/N13*100</f>
        <v>112.71960629147443</v>
      </c>
    </row>
    <row r="14" spans="1:23" ht="12.75">
      <c r="A14" s="253" t="s">
        <v>196</v>
      </c>
      <c r="B14" s="135"/>
      <c r="C14" s="152"/>
      <c r="D14" s="135"/>
      <c r="E14" s="152"/>
      <c r="F14" s="152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250">
        <f>S14+T14</f>
        <v>45042.200000000004</v>
      </c>
      <c r="R14" s="250"/>
      <c r="S14" s="250">
        <f>'522 51 00'!P13</f>
        <v>43690.9</v>
      </c>
      <c r="T14" s="250">
        <f>'522 51 00'!Q13</f>
        <v>1351.3</v>
      </c>
      <c r="U14" s="135"/>
      <c r="V14" s="135"/>
      <c r="W14" s="135"/>
    </row>
    <row r="15" spans="1:23" ht="12.75">
      <c r="A15" s="254" t="s">
        <v>195</v>
      </c>
      <c r="B15" s="135"/>
      <c r="C15" s="152"/>
      <c r="D15" s="135"/>
      <c r="E15" s="152"/>
      <c r="F15" s="152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>
        <f>S15+T15</f>
        <v>97313.5</v>
      </c>
      <c r="R15" s="135"/>
      <c r="S15" s="135">
        <f>'522 51 00'!P14</f>
        <v>94394.1</v>
      </c>
      <c r="T15" s="135">
        <f>'522 51 00'!Q14</f>
        <v>2919.4</v>
      </c>
      <c r="U15" s="135"/>
      <c r="V15" s="135"/>
      <c r="W15" s="135"/>
    </row>
    <row r="16" spans="1:23" ht="30.75" customHeight="1">
      <c r="A16" s="48" t="s">
        <v>324</v>
      </c>
      <c r="B16" s="27" t="s">
        <v>315</v>
      </c>
      <c r="C16" s="51" t="s">
        <v>325</v>
      </c>
      <c r="D16" s="27"/>
      <c r="E16" s="50"/>
      <c r="F16" s="50"/>
      <c r="G16" s="28">
        <f aca="true" t="shared" si="2" ref="G16:O17">SUM(G17)</f>
        <v>1065073.1</v>
      </c>
      <c r="H16" s="28"/>
      <c r="I16" s="28">
        <f t="shared" si="2"/>
        <v>1038241.7999999999</v>
      </c>
      <c r="J16" s="28">
        <f t="shared" si="2"/>
        <v>26831.3</v>
      </c>
      <c r="K16" s="28"/>
      <c r="L16" s="28">
        <f t="shared" si="2"/>
        <v>498725.19999999995</v>
      </c>
      <c r="M16" s="28"/>
      <c r="N16" s="28">
        <f t="shared" si="2"/>
        <v>485374.3</v>
      </c>
      <c r="O16" s="28">
        <f t="shared" si="2"/>
        <v>13350.9</v>
      </c>
      <c r="P16" s="28"/>
      <c r="Q16" s="28">
        <f aca="true" t="shared" si="3" ref="Q16:T17">SUM(Q17)</f>
        <v>906679.1</v>
      </c>
      <c r="R16" s="28"/>
      <c r="S16" s="28">
        <f t="shared" si="3"/>
        <v>547112</v>
      </c>
      <c r="T16" s="28">
        <f t="shared" si="3"/>
        <v>359567.1</v>
      </c>
      <c r="U16" s="28"/>
      <c r="V16" s="28">
        <f aca="true" t="shared" si="4" ref="V16:V24">N16/I16*100</f>
        <v>46.749639631153364</v>
      </c>
      <c r="W16" s="28">
        <f aca="true" t="shared" si="5" ref="W16:W24">S16/N16*100</f>
        <v>112.71960629147443</v>
      </c>
    </row>
    <row r="17" spans="1:23" ht="12.75">
      <c r="A17" s="52" t="s">
        <v>361</v>
      </c>
      <c r="B17" s="27" t="s">
        <v>315</v>
      </c>
      <c r="C17" s="49" t="s">
        <v>325</v>
      </c>
      <c r="D17" s="49" t="s">
        <v>360</v>
      </c>
      <c r="E17" s="49"/>
      <c r="F17" s="49"/>
      <c r="G17" s="27">
        <f t="shared" si="2"/>
        <v>1065073.1</v>
      </c>
      <c r="H17" s="27"/>
      <c r="I17" s="27">
        <f t="shared" si="2"/>
        <v>1038241.7999999999</v>
      </c>
      <c r="J17" s="27">
        <f t="shared" si="2"/>
        <v>26831.3</v>
      </c>
      <c r="K17" s="27"/>
      <c r="L17" s="27">
        <f t="shared" si="2"/>
        <v>498725.19999999995</v>
      </c>
      <c r="M17" s="27"/>
      <c r="N17" s="27">
        <f t="shared" si="2"/>
        <v>485374.3</v>
      </c>
      <c r="O17" s="27">
        <f t="shared" si="2"/>
        <v>13350.9</v>
      </c>
      <c r="P17" s="27"/>
      <c r="Q17" s="27">
        <f t="shared" si="3"/>
        <v>906679.1</v>
      </c>
      <c r="R17" s="27"/>
      <c r="S17" s="27">
        <f t="shared" si="3"/>
        <v>547112</v>
      </c>
      <c r="T17" s="27">
        <f t="shared" si="3"/>
        <v>359567.1</v>
      </c>
      <c r="U17" s="27"/>
      <c r="V17" s="27">
        <f t="shared" si="4"/>
        <v>46.749639631153364</v>
      </c>
      <c r="W17" s="27">
        <f t="shared" si="5"/>
        <v>112.71960629147443</v>
      </c>
    </row>
    <row r="18" spans="1:23" ht="12.75">
      <c r="A18" s="52" t="s">
        <v>10</v>
      </c>
      <c r="B18" s="27" t="s">
        <v>315</v>
      </c>
      <c r="C18" s="49" t="s">
        <v>325</v>
      </c>
      <c r="D18" s="49" t="s">
        <v>360</v>
      </c>
      <c r="E18" s="49" t="s">
        <v>347</v>
      </c>
      <c r="F18" s="49"/>
      <c r="G18" s="27">
        <f aca="true" t="shared" si="6" ref="G18:T18">SUM(G19+G21)</f>
        <v>1065073.1</v>
      </c>
      <c r="H18" s="27"/>
      <c r="I18" s="27">
        <f t="shared" si="6"/>
        <v>1038241.7999999999</v>
      </c>
      <c r="J18" s="27">
        <f t="shared" si="6"/>
        <v>26831.3</v>
      </c>
      <c r="K18" s="27"/>
      <c r="L18" s="27">
        <f t="shared" si="6"/>
        <v>498725.19999999995</v>
      </c>
      <c r="M18" s="27"/>
      <c r="N18" s="27">
        <f t="shared" si="6"/>
        <v>485374.3</v>
      </c>
      <c r="O18" s="27">
        <f t="shared" si="6"/>
        <v>13350.9</v>
      </c>
      <c r="P18" s="27"/>
      <c r="Q18" s="27">
        <f t="shared" si="6"/>
        <v>906679.1</v>
      </c>
      <c r="R18" s="27"/>
      <c r="S18" s="27">
        <f t="shared" si="6"/>
        <v>547112</v>
      </c>
      <c r="T18" s="27">
        <f t="shared" si="6"/>
        <v>359567.1</v>
      </c>
      <c r="U18" s="27"/>
      <c r="V18" s="27">
        <f t="shared" si="4"/>
        <v>46.749639631153364</v>
      </c>
      <c r="W18" s="27">
        <f t="shared" si="5"/>
        <v>112.71960629147443</v>
      </c>
    </row>
    <row r="19" spans="1:23" ht="12.75">
      <c r="A19" s="212" t="s">
        <v>354</v>
      </c>
      <c r="B19" s="27" t="s">
        <v>315</v>
      </c>
      <c r="C19" s="49" t="s">
        <v>325</v>
      </c>
      <c r="D19" s="49" t="s">
        <v>360</v>
      </c>
      <c r="E19" s="49" t="s">
        <v>347</v>
      </c>
      <c r="F19" s="49" t="s">
        <v>355</v>
      </c>
      <c r="G19" s="27">
        <f aca="true" t="shared" si="7" ref="G19:O19">SUM(G20)</f>
        <v>170713.4</v>
      </c>
      <c r="H19" s="27"/>
      <c r="I19" s="27">
        <f t="shared" si="7"/>
        <v>170713.4</v>
      </c>
      <c r="J19" s="27">
        <f t="shared" si="7"/>
        <v>0</v>
      </c>
      <c r="K19" s="27"/>
      <c r="L19" s="27">
        <f t="shared" si="7"/>
        <v>53730.6</v>
      </c>
      <c r="M19" s="27"/>
      <c r="N19" s="27">
        <f t="shared" si="7"/>
        <v>53730.6</v>
      </c>
      <c r="O19" s="27">
        <f t="shared" si="7"/>
        <v>0</v>
      </c>
      <c r="P19" s="27"/>
      <c r="Q19" s="27">
        <f>SUM(Q20)</f>
        <v>53730.6</v>
      </c>
      <c r="R19" s="27"/>
      <c r="S19" s="27">
        <f>SUM(S20)</f>
        <v>53730.6</v>
      </c>
      <c r="T19" s="27">
        <f>SUM(T20)</f>
        <v>0</v>
      </c>
      <c r="U19" s="27"/>
      <c r="V19" s="27">
        <f t="shared" si="4"/>
        <v>31.474154928669922</v>
      </c>
      <c r="W19" s="27">
        <f t="shared" si="5"/>
        <v>100</v>
      </c>
    </row>
    <row r="20" spans="1:23" ht="25.5">
      <c r="A20" s="29" t="s">
        <v>61</v>
      </c>
      <c r="B20" s="27" t="s">
        <v>315</v>
      </c>
      <c r="C20" s="49" t="s">
        <v>325</v>
      </c>
      <c r="D20" s="49" t="s">
        <v>360</v>
      </c>
      <c r="E20" s="49" t="s">
        <v>347</v>
      </c>
      <c r="F20" s="49" t="s">
        <v>355</v>
      </c>
      <c r="G20" s="27">
        <f>SUM(I20+J20)</f>
        <v>170713.4</v>
      </c>
      <c r="H20" s="27"/>
      <c r="I20" s="27">
        <f>SUM('522 51 00'!H19)</f>
        <v>170713.4</v>
      </c>
      <c r="J20" s="27">
        <f>SUM('522 51 00'!I19)</f>
        <v>0</v>
      </c>
      <c r="K20" s="27"/>
      <c r="L20" s="27">
        <f>SUM(N20+O20)</f>
        <v>53730.6</v>
      </c>
      <c r="M20" s="27"/>
      <c r="N20" s="27">
        <f>SUM('522 51 00'!L19)</f>
        <v>53730.6</v>
      </c>
      <c r="O20" s="27">
        <f>SUM('522 51 00'!M19)</f>
        <v>0</v>
      </c>
      <c r="P20" s="27"/>
      <c r="Q20" s="27">
        <f>SUM(S20+T20)</f>
        <v>53730.6</v>
      </c>
      <c r="R20" s="27"/>
      <c r="S20" s="27">
        <f>'522 51 00'!P19</f>
        <v>53730.6</v>
      </c>
      <c r="T20" s="27">
        <f>'522 51 00'!Q19</f>
        <v>0</v>
      </c>
      <c r="U20" s="27"/>
      <c r="V20" s="27">
        <f t="shared" si="4"/>
        <v>31.474154928669922</v>
      </c>
      <c r="W20" s="27">
        <f t="shared" si="5"/>
        <v>100</v>
      </c>
    </row>
    <row r="21" spans="1:23" ht="12.75">
      <c r="A21" s="29" t="s">
        <v>334</v>
      </c>
      <c r="B21" s="27" t="s">
        <v>315</v>
      </c>
      <c r="C21" s="49" t="s">
        <v>325</v>
      </c>
      <c r="D21" s="49" t="s">
        <v>360</v>
      </c>
      <c r="E21" s="49" t="s">
        <v>347</v>
      </c>
      <c r="F21" s="51" t="s">
        <v>335</v>
      </c>
      <c r="G21" s="27">
        <f aca="true" t="shared" si="8" ref="G21:T21">SUM(G22+G23+G24)</f>
        <v>894359.7000000001</v>
      </c>
      <c r="H21" s="27"/>
      <c r="I21" s="27">
        <f t="shared" si="8"/>
        <v>867528.3999999999</v>
      </c>
      <c r="J21" s="27">
        <f t="shared" si="8"/>
        <v>26831.3</v>
      </c>
      <c r="K21" s="27"/>
      <c r="L21" s="27">
        <f t="shared" si="8"/>
        <v>444994.6</v>
      </c>
      <c r="M21" s="27"/>
      <c r="N21" s="27">
        <f t="shared" si="8"/>
        <v>431643.7</v>
      </c>
      <c r="O21" s="27">
        <f t="shared" si="8"/>
        <v>13350.9</v>
      </c>
      <c r="P21" s="27"/>
      <c r="Q21" s="27">
        <f t="shared" si="8"/>
        <v>852948.5</v>
      </c>
      <c r="R21" s="27"/>
      <c r="S21" s="27">
        <f t="shared" si="8"/>
        <v>493381.4</v>
      </c>
      <c r="T21" s="27">
        <f t="shared" si="8"/>
        <v>359567.1</v>
      </c>
      <c r="U21" s="27"/>
      <c r="V21" s="27">
        <f t="shared" si="4"/>
        <v>49.7555699617442</v>
      </c>
      <c r="W21" s="27">
        <f t="shared" si="5"/>
        <v>114.30293086636038</v>
      </c>
    </row>
    <row r="22" spans="1:23" s="70" customFormat="1" ht="12.75">
      <c r="A22" s="213" t="s">
        <v>342</v>
      </c>
      <c r="B22" s="71" t="s">
        <v>315</v>
      </c>
      <c r="C22" s="214" t="s">
        <v>325</v>
      </c>
      <c r="D22" s="214" t="s">
        <v>360</v>
      </c>
      <c r="E22" s="214" t="s">
        <v>347</v>
      </c>
      <c r="F22" s="215" t="s">
        <v>335</v>
      </c>
      <c r="G22" s="71">
        <f>SUM(I22+J22)</f>
        <v>575241.4</v>
      </c>
      <c r="H22" s="71"/>
      <c r="I22" s="71">
        <f>SUM('522 51 00'!H21)</f>
        <v>557984.1</v>
      </c>
      <c r="J22" s="71">
        <f>SUM('522 51 00'!I21)</f>
        <v>17257.3</v>
      </c>
      <c r="K22" s="71"/>
      <c r="L22" s="71">
        <f>SUM(N22+O22)</f>
        <v>237426.4</v>
      </c>
      <c r="M22" s="71"/>
      <c r="N22" s="71">
        <f>SUM('522 51 00'!L21)</f>
        <v>230303.6</v>
      </c>
      <c r="O22" s="71">
        <f>SUM('522 51 00'!M21)</f>
        <v>7122.8</v>
      </c>
      <c r="P22" s="71"/>
      <c r="Q22" s="71">
        <f>SUM(S22+T22)</f>
        <v>333462.8</v>
      </c>
      <c r="R22" s="71"/>
      <c r="S22" s="71">
        <f>'522 51 00'!P21</f>
        <v>178740</v>
      </c>
      <c r="T22" s="71">
        <f>'522 51 00'!Q21</f>
        <v>154722.8</v>
      </c>
      <c r="U22" s="71"/>
      <c r="V22" s="27">
        <f t="shared" si="4"/>
        <v>41.27422268842428</v>
      </c>
      <c r="W22" s="27">
        <f t="shared" si="5"/>
        <v>77.61059748957463</v>
      </c>
    </row>
    <row r="23" spans="1:23" s="70" customFormat="1" ht="12.75">
      <c r="A23" s="213" t="s">
        <v>336</v>
      </c>
      <c r="B23" s="71" t="s">
        <v>315</v>
      </c>
      <c r="C23" s="214" t="s">
        <v>325</v>
      </c>
      <c r="D23" s="214" t="s">
        <v>360</v>
      </c>
      <c r="E23" s="214" t="s">
        <v>347</v>
      </c>
      <c r="F23" s="215" t="s">
        <v>335</v>
      </c>
      <c r="G23" s="71">
        <f>SUM(I23+J23)</f>
        <v>128947.3</v>
      </c>
      <c r="H23" s="71"/>
      <c r="I23" s="71">
        <f>SUM('522 51 00'!H23)</f>
        <v>125079.5</v>
      </c>
      <c r="J23" s="71">
        <f>SUM('522 51 00'!I23)</f>
        <v>3867.8</v>
      </c>
      <c r="K23" s="71"/>
      <c r="L23" s="71">
        <f>SUM(N23+O23)</f>
        <v>51676.799999999996</v>
      </c>
      <c r="M23" s="71"/>
      <c r="N23" s="71">
        <f>SUM('522 51 00'!L23)</f>
        <v>50126.6</v>
      </c>
      <c r="O23" s="71">
        <f>SUM('522 51 00'!M23)</f>
        <v>1550.2</v>
      </c>
      <c r="P23" s="71"/>
      <c r="Q23" s="71">
        <f>SUM(S23+T23)</f>
        <v>138178.8</v>
      </c>
      <c r="R23" s="71"/>
      <c r="S23" s="71">
        <f>'522 51 00'!P23</f>
        <v>86914.4</v>
      </c>
      <c r="T23" s="71">
        <f>'522 51 00'!Q23</f>
        <v>51264.4</v>
      </c>
      <c r="U23" s="71"/>
      <c r="V23" s="27">
        <f t="shared" si="4"/>
        <v>40.07579179641748</v>
      </c>
      <c r="W23" s="27">
        <f t="shared" si="5"/>
        <v>173.38977708442224</v>
      </c>
    </row>
    <row r="24" spans="1:23" s="70" customFormat="1" ht="25.5">
      <c r="A24" s="213" t="s">
        <v>62</v>
      </c>
      <c r="B24" s="71" t="s">
        <v>315</v>
      </c>
      <c r="C24" s="214" t="s">
        <v>325</v>
      </c>
      <c r="D24" s="214" t="s">
        <v>360</v>
      </c>
      <c r="E24" s="214" t="s">
        <v>347</v>
      </c>
      <c r="F24" s="215" t="s">
        <v>335</v>
      </c>
      <c r="G24" s="71">
        <f>SUM(I24+J24)</f>
        <v>190171</v>
      </c>
      <c r="H24" s="71"/>
      <c r="I24" s="71">
        <f>SUM('522 51 00'!H25)</f>
        <v>184464.8</v>
      </c>
      <c r="J24" s="71">
        <f>SUM('522 51 00'!I25)</f>
        <v>5706.2</v>
      </c>
      <c r="K24" s="71"/>
      <c r="L24" s="71">
        <f>SUM(N24+O24)</f>
        <v>155891.4</v>
      </c>
      <c r="M24" s="71"/>
      <c r="N24" s="71">
        <f>SUM('522 51 00'!L25)</f>
        <v>151213.5</v>
      </c>
      <c r="O24" s="71">
        <f>SUM('522 51 00'!M25)</f>
        <v>4677.9</v>
      </c>
      <c r="P24" s="71"/>
      <c r="Q24" s="71">
        <f>SUM(S24+T24)</f>
        <v>381306.9</v>
      </c>
      <c r="R24" s="71"/>
      <c r="S24" s="71">
        <f>'522 51 00'!P25</f>
        <v>227727</v>
      </c>
      <c r="T24" s="71">
        <f>'522 51 00'!Q25</f>
        <v>153579.9</v>
      </c>
      <c r="U24" s="71"/>
      <c r="V24" s="27">
        <f t="shared" si="4"/>
        <v>81.97417610297467</v>
      </c>
      <c r="W24" s="27">
        <f t="shared" si="5"/>
        <v>150.5996488408773</v>
      </c>
    </row>
    <row r="25" spans="1:23" ht="40.5">
      <c r="A25" s="211" t="s">
        <v>316</v>
      </c>
      <c r="B25" s="84" t="s">
        <v>317</v>
      </c>
      <c r="C25" s="174"/>
      <c r="D25" s="82"/>
      <c r="E25" s="174"/>
      <c r="F25" s="174"/>
      <c r="G25" s="84">
        <f>SUM(G27)</f>
        <v>457838.5</v>
      </c>
      <c r="H25" s="84"/>
      <c r="I25" s="84">
        <f>SUM(I27)</f>
        <v>457614.2</v>
      </c>
      <c r="J25" s="84">
        <f>SUM(J27)</f>
        <v>224.3</v>
      </c>
      <c r="K25" s="84"/>
      <c r="L25" s="84">
        <f>SUM(L27)</f>
        <v>400681.60000000003</v>
      </c>
      <c r="M25" s="84"/>
      <c r="N25" s="84">
        <f>SUM(N27)</f>
        <v>400527</v>
      </c>
      <c r="O25" s="84">
        <f>SUM(O27)</f>
        <v>154.6</v>
      </c>
      <c r="P25" s="84"/>
      <c r="Q25" s="84">
        <f>SUM(Q27)</f>
        <v>402076.2</v>
      </c>
      <c r="R25" s="84"/>
      <c r="S25" s="84">
        <f>SUM(S27)</f>
        <v>401879.8</v>
      </c>
      <c r="T25" s="84">
        <f>SUM(T27)</f>
        <v>196.4</v>
      </c>
      <c r="U25" s="84"/>
      <c r="V25" s="84">
        <f>N25/I25*100</f>
        <v>87.52503746605765</v>
      </c>
      <c r="W25" s="84">
        <f>S25/N25*100</f>
        <v>100.33775500777725</v>
      </c>
    </row>
    <row r="26" spans="1:23" s="522" customFormat="1" ht="12.75">
      <c r="A26" s="253" t="s">
        <v>196</v>
      </c>
      <c r="B26" s="251"/>
      <c r="C26" s="393"/>
      <c r="D26" s="246"/>
      <c r="E26" s="393"/>
      <c r="F26" s="393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>
        <f>R26+S26+T26+U26</f>
        <v>1394.6</v>
      </c>
      <c r="R26" s="251"/>
      <c r="S26" s="251">
        <f>'522 51 00'!P29</f>
        <v>1352.8</v>
      </c>
      <c r="T26" s="251">
        <f>'522 51 00'!Q29</f>
        <v>41.8</v>
      </c>
      <c r="U26" s="251"/>
      <c r="V26" s="251"/>
      <c r="W26" s="246"/>
    </row>
    <row r="27" spans="1:23" ht="35.25" customHeight="1">
      <c r="A27" s="48" t="s">
        <v>324</v>
      </c>
      <c r="B27" s="27" t="s">
        <v>317</v>
      </c>
      <c r="C27" s="51" t="s">
        <v>325</v>
      </c>
      <c r="D27" s="27"/>
      <c r="E27" s="50"/>
      <c r="F27" s="50"/>
      <c r="G27" s="28">
        <f aca="true" t="shared" si="9" ref="G27:O28">SUM(G28)</f>
        <v>457838.5</v>
      </c>
      <c r="H27" s="28"/>
      <c r="I27" s="28">
        <f t="shared" si="9"/>
        <v>457614.2</v>
      </c>
      <c r="J27" s="28">
        <f t="shared" si="9"/>
        <v>224.3</v>
      </c>
      <c r="K27" s="28"/>
      <c r="L27" s="28">
        <f t="shared" si="9"/>
        <v>400681.60000000003</v>
      </c>
      <c r="M27" s="28"/>
      <c r="N27" s="28">
        <f t="shared" si="9"/>
        <v>400527</v>
      </c>
      <c r="O27" s="28">
        <f t="shared" si="9"/>
        <v>154.6</v>
      </c>
      <c r="P27" s="28"/>
      <c r="Q27" s="28">
        <f aca="true" t="shared" si="10" ref="Q27:T28">SUM(Q28)</f>
        <v>402076.2</v>
      </c>
      <c r="R27" s="28"/>
      <c r="S27" s="28">
        <f t="shared" si="10"/>
        <v>401879.8</v>
      </c>
      <c r="T27" s="28">
        <f t="shared" si="10"/>
        <v>196.4</v>
      </c>
      <c r="U27" s="28"/>
      <c r="V27" s="28">
        <f aca="true" t="shared" si="11" ref="V27:V35">N27/I27*100</f>
        <v>87.52503746605765</v>
      </c>
      <c r="W27" s="28">
        <f aca="true" t="shared" si="12" ref="W27:W35">S27/N27*100</f>
        <v>100.33775500777725</v>
      </c>
    </row>
    <row r="28" spans="1:23" ht="12.75">
      <c r="A28" s="52" t="s">
        <v>361</v>
      </c>
      <c r="B28" s="27" t="s">
        <v>317</v>
      </c>
      <c r="C28" s="49" t="s">
        <v>325</v>
      </c>
      <c r="D28" s="49" t="s">
        <v>360</v>
      </c>
      <c r="E28" s="49"/>
      <c r="F28" s="49"/>
      <c r="G28" s="27">
        <f t="shared" si="9"/>
        <v>457838.5</v>
      </c>
      <c r="H28" s="27"/>
      <c r="I28" s="27">
        <f t="shared" si="9"/>
        <v>457614.2</v>
      </c>
      <c r="J28" s="27">
        <f t="shared" si="9"/>
        <v>224.3</v>
      </c>
      <c r="K28" s="27"/>
      <c r="L28" s="27">
        <f t="shared" si="9"/>
        <v>400681.60000000003</v>
      </c>
      <c r="M28" s="27"/>
      <c r="N28" s="27">
        <f t="shared" si="9"/>
        <v>400527</v>
      </c>
      <c r="O28" s="27">
        <f t="shared" si="9"/>
        <v>154.6</v>
      </c>
      <c r="P28" s="27"/>
      <c r="Q28" s="27">
        <f t="shared" si="10"/>
        <v>402076.2</v>
      </c>
      <c r="R28" s="27"/>
      <c r="S28" s="27">
        <f t="shared" si="10"/>
        <v>401879.8</v>
      </c>
      <c r="T28" s="27">
        <f t="shared" si="10"/>
        <v>196.4</v>
      </c>
      <c r="U28" s="27"/>
      <c r="V28" s="27">
        <f t="shared" si="11"/>
        <v>87.52503746605765</v>
      </c>
      <c r="W28" s="27">
        <f t="shared" si="12"/>
        <v>100.33775500777725</v>
      </c>
    </row>
    <row r="29" spans="1:23" ht="12.75">
      <c r="A29" s="52" t="s">
        <v>10</v>
      </c>
      <c r="B29" s="27" t="s">
        <v>317</v>
      </c>
      <c r="C29" s="49" t="s">
        <v>325</v>
      </c>
      <c r="D29" s="49" t="s">
        <v>360</v>
      </c>
      <c r="E29" s="49" t="s">
        <v>347</v>
      </c>
      <c r="F29" s="49"/>
      <c r="G29" s="27">
        <f aca="true" t="shared" si="13" ref="G29:O29">SUM(G30+G33)</f>
        <v>457838.5</v>
      </c>
      <c r="H29" s="27"/>
      <c r="I29" s="27">
        <f>SUM(I30+I33)</f>
        <v>457614.2</v>
      </c>
      <c r="J29" s="27">
        <f t="shared" si="13"/>
        <v>224.3</v>
      </c>
      <c r="K29" s="27"/>
      <c r="L29" s="27">
        <f t="shared" si="13"/>
        <v>400681.60000000003</v>
      </c>
      <c r="M29" s="27"/>
      <c r="N29" s="27">
        <f t="shared" si="13"/>
        <v>400527</v>
      </c>
      <c r="O29" s="27">
        <f t="shared" si="13"/>
        <v>154.6</v>
      </c>
      <c r="P29" s="27"/>
      <c r="Q29" s="27">
        <f>SUM(Q30+Q33)</f>
        <v>402076.2</v>
      </c>
      <c r="R29" s="27"/>
      <c r="S29" s="27">
        <f>S30+S33</f>
        <v>401879.8</v>
      </c>
      <c r="T29" s="27">
        <f>SUM(T30+T33)</f>
        <v>196.4</v>
      </c>
      <c r="U29" s="27"/>
      <c r="V29" s="27">
        <f t="shared" si="11"/>
        <v>87.52503746605765</v>
      </c>
      <c r="W29" s="27">
        <f t="shared" si="12"/>
        <v>100.33775500777725</v>
      </c>
    </row>
    <row r="30" spans="1:23" ht="12.75">
      <c r="A30" s="212" t="s">
        <v>354</v>
      </c>
      <c r="B30" s="27" t="s">
        <v>317</v>
      </c>
      <c r="C30" s="49" t="s">
        <v>325</v>
      </c>
      <c r="D30" s="49" t="s">
        <v>360</v>
      </c>
      <c r="E30" s="49" t="s">
        <v>347</v>
      </c>
      <c r="F30" s="49" t="s">
        <v>355</v>
      </c>
      <c r="G30" s="27">
        <f>SUM(G31+G32)</f>
        <v>450361.9</v>
      </c>
      <c r="H30" s="27"/>
      <c r="I30" s="27">
        <f>SUM(I31+I32)</f>
        <v>450361.9</v>
      </c>
      <c r="J30" s="27">
        <f>SUM(J31+J32)</f>
        <v>0</v>
      </c>
      <c r="K30" s="27"/>
      <c r="L30" s="27">
        <f>SUM(L31+L32)</f>
        <v>395528.2</v>
      </c>
      <c r="M30" s="27"/>
      <c r="N30" s="27">
        <f>SUM(N31+N32)</f>
        <v>395528.2</v>
      </c>
      <c r="O30" s="27">
        <f>SUM(O31+O32)</f>
        <v>0</v>
      </c>
      <c r="P30" s="27"/>
      <c r="Q30" s="27">
        <f>SUM(Q31+Q32)</f>
        <v>395528.2</v>
      </c>
      <c r="R30" s="27"/>
      <c r="S30" s="27">
        <f>SUM(S31+S32)</f>
        <v>395528.2</v>
      </c>
      <c r="T30" s="27">
        <f>SUM(T31+T32)</f>
        <v>0</v>
      </c>
      <c r="U30" s="27"/>
      <c r="V30" s="27">
        <f t="shared" si="11"/>
        <v>87.82452512079729</v>
      </c>
      <c r="W30" s="27">
        <f t="shared" si="12"/>
        <v>100</v>
      </c>
    </row>
    <row r="31" spans="1:23" ht="25.5">
      <c r="A31" s="29" t="s">
        <v>324</v>
      </c>
      <c r="B31" s="27" t="s">
        <v>317</v>
      </c>
      <c r="C31" s="49" t="s">
        <v>325</v>
      </c>
      <c r="D31" s="49" t="s">
        <v>360</v>
      </c>
      <c r="E31" s="49" t="s">
        <v>347</v>
      </c>
      <c r="F31" s="49" t="s">
        <v>355</v>
      </c>
      <c r="G31" s="27">
        <f>SUM(I31+J31)</f>
        <v>4957.700000000001</v>
      </c>
      <c r="H31" s="27"/>
      <c r="I31" s="27">
        <f>SUM('522 51 00'!H34)</f>
        <v>4957.700000000001</v>
      </c>
      <c r="J31" s="27">
        <f>SUM('522 51 00'!I34)</f>
        <v>0</v>
      </c>
      <c r="K31" s="27"/>
      <c r="L31" s="27">
        <f>SUM(N31+O31)</f>
        <v>0</v>
      </c>
      <c r="M31" s="27"/>
      <c r="N31" s="27">
        <f>SUM('522 51 00'!L34)</f>
        <v>0</v>
      </c>
      <c r="O31" s="27">
        <f>SUM('522 51 00'!M34)</f>
        <v>0</v>
      </c>
      <c r="P31" s="27"/>
      <c r="Q31" s="27">
        <f>SUM(S31+T31)</f>
        <v>0</v>
      </c>
      <c r="R31" s="27"/>
      <c r="S31" s="27">
        <f>SUM('522 51 00'!P34)</f>
        <v>0</v>
      </c>
      <c r="T31" s="27">
        <f>SUM('522 51 00'!Q34)</f>
        <v>0</v>
      </c>
      <c r="U31" s="27"/>
      <c r="V31" s="27"/>
      <c r="W31" s="27"/>
    </row>
    <row r="32" spans="1:23" ht="25.5">
      <c r="A32" s="29" t="s">
        <v>61</v>
      </c>
      <c r="B32" s="27" t="s">
        <v>317</v>
      </c>
      <c r="C32" s="49" t="s">
        <v>325</v>
      </c>
      <c r="D32" s="49" t="s">
        <v>360</v>
      </c>
      <c r="E32" s="49" t="s">
        <v>347</v>
      </c>
      <c r="F32" s="49" t="s">
        <v>355</v>
      </c>
      <c r="G32" s="27">
        <f>SUM(I32+J32)</f>
        <v>445404.2</v>
      </c>
      <c r="H32" s="27"/>
      <c r="I32" s="27">
        <f>SUM('522 51 00'!H37)</f>
        <v>445404.2</v>
      </c>
      <c r="J32" s="27">
        <f>SUM('522 51 00'!I37)</f>
        <v>0</v>
      </c>
      <c r="K32" s="27"/>
      <c r="L32" s="27">
        <f>SUM(N32+O32)</f>
        <v>395528.2</v>
      </c>
      <c r="M32" s="27"/>
      <c r="N32" s="27">
        <f>SUM('522 51 00'!L37)</f>
        <v>395528.2</v>
      </c>
      <c r="O32" s="27">
        <f>SUM('522 51 00'!M37)</f>
        <v>0</v>
      </c>
      <c r="P32" s="27"/>
      <c r="Q32" s="27">
        <f>SUM(S32+T32)</f>
        <v>395528.2</v>
      </c>
      <c r="R32" s="27"/>
      <c r="S32" s="27">
        <f>'522 51 00'!P37</f>
        <v>395528.2</v>
      </c>
      <c r="T32" s="27">
        <f>SUM('522 51 00'!Q37)</f>
        <v>0</v>
      </c>
      <c r="U32" s="27"/>
      <c r="V32" s="27">
        <f t="shared" si="11"/>
        <v>88.8020813454386</v>
      </c>
      <c r="W32" s="27">
        <f t="shared" si="12"/>
        <v>100</v>
      </c>
    </row>
    <row r="33" spans="1:23" ht="12.75">
      <c r="A33" s="29" t="s">
        <v>334</v>
      </c>
      <c r="B33" s="27" t="s">
        <v>317</v>
      </c>
      <c r="C33" s="49" t="s">
        <v>325</v>
      </c>
      <c r="D33" s="49" t="s">
        <v>360</v>
      </c>
      <c r="E33" s="49" t="s">
        <v>347</v>
      </c>
      <c r="F33" s="51" t="s">
        <v>335</v>
      </c>
      <c r="G33" s="58">
        <f aca="true" t="shared" si="14" ref="G33:O33">G34+G35</f>
        <v>7476.6</v>
      </c>
      <c r="H33" s="58"/>
      <c r="I33" s="58">
        <f t="shared" si="14"/>
        <v>7252.3</v>
      </c>
      <c r="J33" s="58">
        <f t="shared" si="14"/>
        <v>224.3</v>
      </c>
      <c r="K33" s="58"/>
      <c r="L33" s="58">
        <f>L34+L35</f>
        <v>5153.4</v>
      </c>
      <c r="M33" s="58"/>
      <c r="N33" s="58">
        <f>N34+N35</f>
        <v>4998.8</v>
      </c>
      <c r="O33" s="58">
        <f t="shared" si="14"/>
        <v>154.6</v>
      </c>
      <c r="P33" s="58"/>
      <c r="Q33" s="58">
        <f>Q34+Q35</f>
        <v>6548</v>
      </c>
      <c r="R33" s="58"/>
      <c r="S33" s="58">
        <f>S34+S35</f>
        <v>6351.6</v>
      </c>
      <c r="T33" s="58">
        <f>T34+T35</f>
        <v>196.4</v>
      </c>
      <c r="U33" s="58"/>
      <c r="V33" s="27">
        <f t="shared" si="11"/>
        <v>68.92709898928616</v>
      </c>
      <c r="W33" s="27">
        <f t="shared" si="12"/>
        <v>127.0624949987997</v>
      </c>
    </row>
    <row r="34" spans="1:23" s="70" customFormat="1" ht="12.75">
      <c r="A34" s="216" t="s">
        <v>342</v>
      </c>
      <c r="B34" s="71" t="s">
        <v>317</v>
      </c>
      <c r="C34" s="214" t="s">
        <v>325</v>
      </c>
      <c r="D34" s="214" t="s">
        <v>360</v>
      </c>
      <c r="E34" s="214" t="s">
        <v>347</v>
      </c>
      <c r="F34" s="215" t="s">
        <v>335</v>
      </c>
      <c r="G34" s="71">
        <f>SUM(I34+J34)</f>
        <v>5096.7</v>
      </c>
      <c r="H34" s="71"/>
      <c r="I34" s="71">
        <f>SUM('522 51 00'!H39)</f>
        <v>4943.8</v>
      </c>
      <c r="J34" s="71">
        <f>SUM('522 51 00'!I39)</f>
        <v>152.9</v>
      </c>
      <c r="K34" s="71"/>
      <c r="L34" s="71">
        <f>SUM(N34+O34)</f>
        <v>4158.8</v>
      </c>
      <c r="M34" s="71"/>
      <c r="N34" s="71">
        <f>SUM('522 51 00'!L39)</f>
        <v>4034</v>
      </c>
      <c r="O34" s="71">
        <f>SUM('522 51 00'!M39)</f>
        <v>124.8</v>
      </c>
      <c r="P34" s="71"/>
      <c r="Q34" s="71">
        <f>SUM(S34+T34)</f>
        <v>5553.400000000001</v>
      </c>
      <c r="R34" s="71"/>
      <c r="S34" s="71">
        <f>SUM('522 51 00'!P39)</f>
        <v>5386.8</v>
      </c>
      <c r="T34" s="71">
        <f>SUM('522 51 00'!Q39)</f>
        <v>166.6</v>
      </c>
      <c r="U34" s="71"/>
      <c r="V34" s="27">
        <f t="shared" si="11"/>
        <v>81.59715198834904</v>
      </c>
      <c r="W34" s="27">
        <f t="shared" si="12"/>
        <v>133.53495290034704</v>
      </c>
    </row>
    <row r="35" spans="1:23" s="70" customFormat="1" ht="12.75">
      <c r="A35" s="216" t="s">
        <v>132</v>
      </c>
      <c r="B35" s="71" t="s">
        <v>317</v>
      </c>
      <c r="C35" s="214" t="s">
        <v>325</v>
      </c>
      <c r="D35" s="214" t="s">
        <v>360</v>
      </c>
      <c r="E35" s="214" t="s">
        <v>347</v>
      </c>
      <c r="F35" s="215" t="s">
        <v>335</v>
      </c>
      <c r="G35" s="71">
        <f>SUM(I35+J35)</f>
        <v>2379.9</v>
      </c>
      <c r="H35" s="71"/>
      <c r="I35" s="71">
        <f>SUM('522 51 00'!H42)</f>
        <v>2308.5</v>
      </c>
      <c r="J35" s="71">
        <f>SUM('522 51 00'!I42)</f>
        <v>71.4</v>
      </c>
      <c r="K35" s="71"/>
      <c r="L35" s="71">
        <f>SUM(N35+O35)</f>
        <v>994.5999999999999</v>
      </c>
      <c r="M35" s="71"/>
      <c r="N35" s="71">
        <f>SUM('522 51 00'!L42)</f>
        <v>964.8</v>
      </c>
      <c r="O35" s="71">
        <f>SUM('522 51 00'!M42)</f>
        <v>29.8</v>
      </c>
      <c r="P35" s="71"/>
      <c r="Q35" s="71">
        <f>SUM(S35+T35)</f>
        <v>994.5999999999999</v>
      </c>
      <c r="R35" s="71"/>
      <c r="S35" s="71">
        <f>SUM('522 51 00'!P42)</f>
        <v>964.8</v>
      </c>
      <c r="T35" s="71">
        <f>SUM('522 51 00'!Q42)</f>
        <v>29.8</v>
      </c>
      <c r="U35" s="71"/>
      <c r="V35" s="27">
        <f t="shared" si="11"/>
        <v>41.7933723196881</v>
      </c>
      <c r="W35" s="27">
        <f t="shared" si="12"/>
        <v>100</v>
      </c>
    </row>
    <row r="36" spans="1:23" ht="40.5">
      <c r="A36" s="217" t="s">
        <v>318</v>
      </c>
      <c r="B36" s="109" t="s">
        <v>319</v>
      </c>
      <c r="C36" s="177"/>
      <c r="D36" s="176"/>
      <c r="E36" s="177"/>
      <c r="F36" s="177"/>
      <c r="G36" s="109">
        <f aca="true" t="shared" si="15" ref="G36:T36">SUM(G38)</f>
        <v>297404.9</v>
      </c>
      <c r="H36" s="109"/>
      <c r="I36" s="109">
        <f t="shared" si="15"/>
        <v>288482.5</v>
      </c>
      <c r="J36" s="109">
        <f t="shared" si="15"/>
        <v>8922.4</v>
      </c>
      <c r="K36" s="109"/>
      <c r="L36" s="109">
        <f t="shared" si="15"/>
        <v>188585.4</v>
      </c>
      <c r="M36" s="109"/>
      <c r="N36" s="109">
        <f t="shared" si="15"/>
        <v>182927.8</v>
      </c>
      <c r="O36" s="109">
        <f t="shared" si="15"/>
        <v>5657.599999999999</v>
      </c>
      <c r="P36" s="109"/>
      <c r="Q36" s="109">
        <f t="shared" si="15"/>
        <v>248194.30000000002</v>
      </c>
      <c r="R36" s="109"/>
      <c r="S36" s="109">
        <f t="shared" si="15"/>
        <v>240748.5</v>
      </c>
      <c r="T36" s="109">
        <f t="shared" si="15"/>
        <v>7445.799999999999</v>
      </c>
      <c r="U36" s="109"/>
      <c r="V36" s="109">
        <f>N36/I36*100</f>
        <v>63.41036284696645</v>
      </c>
      <c r="W36" s="82">
        <f>(Q36/L36)*100</f>
        <v>131.60843840509392</v>
      </c>
    </row>
    <row r="37" spans="1:23" s="89" customFormat="1" ht="12.75">
      <c r="A37" s="254" t="s">
        <v>195</v>
      </c>
      <c r="B37" s="135"/>
      <c r="C37" s="152"/>
      <c r="D37" s="135"/>
      <c r="E37" s="152"/>
      <c r="F37" s="152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>
        <f>S37+T37</f>
        <v>59591.9</v>
      </c>
      <c r="R37" s="135"/>
      <c r="S37" s="135">
        <f>'522 51 00'!P45</f>
        <v>57820.700000000004</v>
      </c>
      <c r="T37" s="135">
        <f>'522 51 00'!Q45</f>
        <v>1771.2</v>
      </c>
      <c r="U37" s="135"/>
      <c r="V37" s="135"/>
      <c r="W37" s="135"/>
    </row>
    <row r="38" spans="1:23" ht="30.75" customHeight="1">
      <c r="A38" s="48" t="s">
        <v>324</v>
      </c>
      <c r="B38" s="28" t="s">
        <v>319</v>
      </c>
      <c r="C38" s="47" t="s">
        <v>325</v>
      </c>
      <c r="D38" s="28"/>
      <c r="E38" s="56"/>
      <c r="F38" s="56"/>
      <c r="G38" s="28">
        <f aca="true" t="shared" si="16" ref="G38:O40">SUM(G39)</f>
        <v>297404.9</v>
      </c>
      <c r="H38" s="28"/>
      <c r="I38" s="28">
        <f t="shared" si="16"/>
        <v>288482.5</v>
      </c>
      <c r="J38" s="28">
        <f t="shared" si="16"/>
        <v>8922.4</v>
      </c>
      <c r="K38" s="28"/>
      <c r="L38" s="28">
        <f t="shared" si="16"/>
        <v>188585.4</v>
      </c>
      <c r="M38" s="28"/>
      <c r="N38" s="28">
        <f t="shared" si="16"/>
        <v>182927.8</v>
      </c>
      <c r="O38" s="28">
        <f t="shared" si="16"/>
        <v>5657.599999999999</v>
      </c>
      <c r="P38" s="28"/>
      <c r="Q38" s="28">
        <f aca="true" t="shared" si="17" ref="Q38:T40">SUM(Q39)</f>
        <v>248194.30000000002</v>
      </c>
      <c r="R38" s="28"/>
      <c r="S38" s="28">
        <f t="shared" si="17"/>
        <v>240748.5</v>
      </c>
      <c r="T38" s="28">
        <f t="shared" si="17"/>
        <v>7445.799999999999</v>
      </c>
      <c r="U38" s="28"/>
      <c r="V38" s="28">
        <f aca="true" t="shared" si="18" ref="V38:V43">N38/I38*100</f>
        <v>63.41036284696645</v>
      </c>
      <c r="W38" s="28">
        <f aca="true" t="shared" si="19" ref="W38:W43">S38/N38*100</f>
        <v>131.60848159765766</v>
      </c>
    </row>
    <row r="39" spans="1:23" ht="12.75">
      <c r="A39" s="52" t="s">
        <v>361</v>
      </c>
      <c r="B39" s="27" t="s">
        <v>319</v>
      </c>
      <c r="C39" s="51" t="s">
        <v>325</v>
      </c>
      <c r="D39" s="49" t="s">
        <v>360</v>
      </c>
      <c r="E39" s="50"/>
      <c r="F39" s="50"/>
      <c r="G39" s="27">
        <f t="shared" si="16"/>
        <v>297404.9</v>
      </c>
      <c r="H39" s="27"/>
      <c r="I39" s="27">
        <f t="shared" si="16"/>
        <v>288482.5</v>
      </c>
      <c r="J39" s="27">
        <f t="shared" si="16"/>
        <v>8922.4</v>
      </c>
      <c r="K39" s="27"/>
      <c r="L39" s="27">
        <f t="shared" si="16"/>
        <v>188585.4</v>
      </c>
      <c r="M39" s="27"/>
      <c r="N39" s="27">
        <f t="shared" si="16"/>
        <v>182927.8</v>
      </c>
      <c r="O39" s="27">
        <f t="shared" si="16"/>
        <v>5657.599999999999</v>
      </c>
      <c r="P39" s="27"/>
      <c r="Q39" s="27">
        <f t="shared" si="17"/>
        <v>248194.30000000002</v>
      </c>
      <c r="R39" s="27"/>
      <c r="S39" s="27">
        <f t="shared" si="17"/>
        <v>240748.5</v>
      </c>
      <c r="T39" s="27">
        <f t="shared" si="17"/>
        <v>7445.799999999999</v>
      </c>
      <c r="U39" s="27"/>
      <c r="V39" s="27">
        <f t="shared" si="18"/>
        <v>63.41036284696645</v>
      </c>
      <c r="W39" s="27">
        <f t="shared" si="19"/>
        <v>131.60848159765766</v>
      </c>
    </row>
    <row r="40" spans="1:23" ht="25.5">
      <c r="A40" s="52" t="s">
        <v>11</v>
      </c>
      <c r="B40" s="27" t="s">
        <v>319</v>
      </c>
      <c r="C40" s="51" t="s">
        <v>325</v>
      </c>
      <c r="D40" s="49" t="s">
        <v>360</v>
      </c>
      <c r="E40" s="49" t="s">
        <v>360</v>
      </c>
      <c r="F40" s="50"/>
      <c r="G40" s="27">
        <f t="shared" si="16"/>
        <v>297404.9</v>
      </c>
      <c r="H40" s="27"/>
      <c r="I40" s="27">
        <f t="shared" si="16"/>
        <v>288482.5</v>
      </c>
      <c r="J40" s="27">
        <f t="shared" si="16"/>
        <v>8922.4</v>
      </c>
      <c r="K40" s="27"/>
      <c r="L40" s="27">
        <f t="shared" si="16"/>
        <v>188585.4</v>
      </c>
      <c r="M40" s="27"/>
      <c r="N40" s="27">
        <f t="shared" si="16"/>
        <v>182927.8</v>
      </c>
      <c r="O40" s="27">
        <f t="shared" si="16"/>
        <v>5657.599999999999</v>
      </c>
      <c r="P40" s="27"/>
      <c r="Q40" s="27">
        <f t="shared" si="17"/>
        <v>248194.30000000002</v>
      </c>
      <c r="R40" s="27"/>
      <c r="S40" s="27">
        <f t="shared" si="17"/>
        <v>240748.5</v>
      </c>
      <c r="T40" s="27">
        <f t="shared" si="17"/>
        <v>7445.799999999999</v>
      </c>
      <c r="U40" s="27"/>
      <c r="V40" s="27">
        <f t="shared" si="18"/>
        <v>63.41036284696645</v>
      </c>
      <c r="W40" s="27">
        <f t="shared" si="19"/>
        <v>131.60848159765766</v>
      </c>
    </row>
    <row r="41" spans="1:23" ht="12.75">
      <c r="A41" s="54" t="s">
        <v>334</v>
      </c>
      <c r="B41" s="27" t="s">
        <v>319</v>
      </c>
      <c r="C41" s="51" t="s">
        <v>325</v>
      </c>
      <c r="D41" s="49" t="s">
        <v>360</v>
      </c>
      <c r="E41" s="49" t="s">
        <v>360</v>
      </c>
      <c r="F41" s="51" t="s">
        <v>335</v>
      </c>
      <c r="G41" s="27">
        <f aca="true" t="shared" si="20" ref="G41:O41">SUM(G42+G43)</f>
        <v>297404.9</v>
      </c>
      <c r="H41" s="27"/>
      <c r="I41" s="27">
        <f t="shared" si="20"/>
        <v>288482.5</v>
      </c>
      <c r="J41" s="27">
        <f t="shared" si="20"/>
        <v>8922.4</v>
      </c>
      <c r="K41" s="27"/>
      <c r="L41" s="27">
        <f t="shared" si="20"/>
        <v>188585.4</v>
      </c>
      <c r="M41" s="27"/>
      <c r="N41" s="27">
        <f t="shared" si="20"/>
        <v>182927.8</v>
      </c>
      <c r="O41" s="27">
        <f t="shared" si="20"/>
        <v>5657.599999999999</v>
      </c>
      <c r="P41" s="27"/>
      <c r="Q41" s="27">
        <f>SUM(Q42+Q43)</f>
        <v>248194.30000000002</v>
      </c>
      <c r="R41" s="27"/>
      <c r="S41" s="27">
        <f>SUM(S42+S43)</f>
        <v>240748.5</v>
      </c>
      <c r="T41" s="27">
        <f>SUM(T42+T43)</f>
        <v>7445.799999999999</v>
      </c>
      <c r="U41" s="27"/>
      <c r="V41" s="27">
        <f t="shared" si="18"/>
        <v>63.41036284696645</v>
      </c>
      <c r="W41" s="27">
        <f t="shared" si="19"/>
        <v>131.60848159765766</v>
      </c>
    </row>
    <row r="42" spans="1:23" s="70" customFormat="1" ht="12.75">
      <c r="A42" s="213" t="s">
        <v>342</v>
      </c>
      <c r="B42" s="71" t="s">
        <v>319</v>
      </c>
      <c r="C42" s="215" t="s">
        <v>325</v>
      </c>
      <c r="D42" s="214" t="s">
        <v>360</v>
      </c>
      <c r="E42" s="214" t="s">
        <v>360</v>
      </c>
      <c r="F42" s="215" t="s">
        <v>335</v>
      </c>
      <c r="G42" s="71">
        <f>SUM(I42+J42)</f>
        <v>278814.5</v>
      </c>
      <c r="H42" s="71"/>
      <c r="I42" s="71">
        <f>SUM('522 51 00'!H50)</f>
        <v>270449.8</v>
      </c>
      <c r="J42" s="71">
        <f>SUM('522 51 00'!I50)</f>
        <v>8364.699999999999</v>
      </c>
      <c r="K42" s="71"/>
      <c r="L42" s="71">
        <f>SUM(N42+O42)</f>
        <v>171513.3</v>
      </c>
      <c r="M42" s="71"/>
      <c r="N42" s="71">
        <f>SUM('522 51 00'!L50)</f>
        <v>166367.9</v>
      </c>
      <c r="O42" s="71">
        <f>SUM('522 51 00'!M50)</f>
        <v>5145.4</v>
      </c>
      <c r="P42" s="71"/>
      <c r="Q42" s="71">
        <f>SUM(S42+T42)</f>
        <v>231122.2</v>
      </c>
      <c r="R42" s="71"/>
      <c r="S42" s="71">
        <f>SUM('522 51 00'!P50)</f>
        <v>224188.6</v>
      </c>
      <c r="T42" s="71">
        <f>SUM('522 51 00'!Q50)</f>
        <v>6933.599999999999</v>
      </c>
      <c r="U42" s="71"/>
      <c r="V42" s="27">
        <f t="shared" si="18"/>
        <v>61.515260872812625</v>
      </c>
      <c r="W42" s="27">
        <f t="shared" si="19"/>
        <v>134.75472131342644</v>
      </c>
    </row>
    <row r="43" spans="1:23" s="70" customFormat="1" ht="12.75">
      <c r="A43" s="213" t="s">
        <v>63</v>
      </c>
      <c r="B43" s="71" t="s">
        <v>319</v>
      </c>
      <c r="C43" s="215" t="s">
        <v>325</v>
      </c>
      <c r="D43" s="214" t="s">
        <v>360</v>
      </c>
      <c r="E43" s="214" t="s">
        <v>360</v>
      </c>
      <c r="F43" s="215" t="s">
        <v>335</v>
      </c>
      <c r="G43" s="71">
        <f>SUM(I43+J43)</f>
        <v>18590.4</v>
      </c>
      <c r="H43" s="71"/>
      <c r="I43" s="71">
        <f>SUM('522 51 00'!H60)</f>
        <v>18032.7</v>
      </c>
      <c r="J43" s="71">
        <f>SUM('522 51 00'!I60)</f>
        <v>557.7</v>
      </c>
      <c r="K43" s="71"/>
      <c r="L43" s="71">
        <f>SUM(N43+O43)</f>
        <v>17072.100000000002</v>
      </c>
      <c r="M43" s="71"/>
      <c r="N43" s="71">
        <f>SUM('522 51 00'!L60)</f>
        <v>16559.9</v>
      </c>
      <c r="O43" s="71">
        <f>SUM('522 51 00'!M60)</f>
        <v>512.2</v>
      </c>
      <c r="P43" s="71"/>
      <c r="Q43" s="71">
        <f>SUM(S43+T43)</f>
        <v>17072.100000000002</v>
      </c>
      <c r="R43" s="71"/>
      <c r="S43" s="71">
        <f>SUM('522 51 00'!P60)</f>
        <v>16559.9</v>
      </c>
      <c r="T43" s="71">
        <f>SUM('522 51 00'!Q60)</f>
        <v>512.2</v>
      </c>
      <c r="U43" s="71"/>
      <c r="V43" s="27">
        <f t="shared" si="18"/>
        <v>91.83261519350957</v>
      </c>
      <c r="W43" s="27">
        <f t="shared" si="19"/>
        <v>100</v>
      </c>
    </row>
    <row r="44" spans="1:23" ht="40.5">
      <c r="A44" s="211" t="s">
        <v>320</v>
      </c>
      <c r="B44" s="84" t="s">
        <v>321</v>
      </c>
      <c r="C44" s="174"/>
      <c r="D44" s="82"/>
      <c r="E44" s="174"/>
      <c r="F44" s="174"/>
      <c r="G44" s="84">
        <f aca="true" t="shared" si="21" ref="G44:N44">SUM(G45)</f>
        <v>404061.2</v>
      </c>
      <c r="H44" s="84"/>
      <c r="I44" s="84">
        <f t="shared" si="21"/>
        <v>404061.2</v>
      </c>
      <c r="J44" s="84"/>
      <c r="K44" s="84"/>
      <c r="L44" s="84">
        <f t="shared" si="21"/>
        <v>403872.2</v>
      </c>
      <c r="M44" s="84"/>
      <c r="N44" s="84">
        <f t="shared" si="21"/>
        <v>403872.2</v>
      </c>
      <c r="O44" s="84"/>
      <c r="P44" s="84"/>
      <c r="Q44" s="84">
        <f>SUM(Q45)</f>
        <v>403872.2</v>
      </c>
      <c r="R44" s="84"/>
      <c r="S44" s="84">
        <f>SUM(S45)</f>
        <v>403872.2</v>
      </c>
      <c r="T44" s="84"/>
      <c r="U44" s="84"/>
      <c r="V44" s="84">
        <f>N44/I44*100</f>
        <v>99.95322490751401</v>
      </c>
      <c r="W44" s="84">
        <f>(Q44/L44)*100</f>
        <v>100</v>
      </c>
    </row>
    <row r="45" spans="1:23" ht="32.25" customHeight="1">
      <c r="A45" s="48" t="s">
        <v>324</v>
      </c>
      <c r="B45" s="28" t="s">
        <v>321</v>
      </c>
      <c r="C45" s="47" t="s">
        <v>325</v>
      </c>
      <c r="D45" s="28"/>
      <c r="E45" s="56"/>
      <c r="F45" s="56"/>
      <c r="G45" s="28">
        <f>G46+G49</f>
        <v>404061.2</v>
      </c>
      <c r="H45" s="28"/>
      <c r="I45" s="28">
        <f>I46+I49</f>
        <v>404061.2</v>
      </c>
      <c r="J45" s="28"/>
      <c r="K45" s="28"/>
      <c r="L45" s="28">
        <f>L46+L49</f>
        <v>403872.2</v>
      </c>
      <c r="M45" s="28"/>
      <c r="N45" s="28">
        <f>N46+N49</f>
        <v>403872.2</v>
      </c>
      <c r="O45" s="28"/>
      <c r="P45" s="28"/>
      <c r="Q45" s="28">
        <f>Q46+Q49</f>
        <v>403872.2</v>
      </c>
      <c r="R45" s="28"/>
      <c r="S45" s="28">
        <f>S46+S49</f>
        <v>403872.2</v>
      </c>
      <c r="T45" s="28"/>
      <c r="U45" s="28"/>
      <c r="V45" s="28">
        <f>N45/I45*100</f>
        <v>99.95322490751401</v>
      </c>
      <c r="W45" s="28">
        <f>S45/N45*100</f>
        <v>100</v>
      </c>
    </row>
    <row r="46" spans="1:23" ht="12.75">
      <c r="A46" s="29" t="s">
        <v>328</v>
      </c>
      <c r="B46" s="27" t="s">
        <v>321</v>
      </c>
      <c r="C46" s="51" t="s">
        <v>325</v>
      </c>
      <c r="D46" s="51">
        <v>10</v>
      </c>
      <c r="E46" s="50"/>
      <c r="F46" s="50"/>
      <c r="G46" s="27">
        <f>SUM(G47)</f>
        <v>404060</v>
      </c>
      <c r="H46" s="27"/>
      <c r="I46" s="27">
        <f>SUM(I47)</f>
        <v>404060</v>
      </c>
      <c r="J46" s="27"/>
      <c r="K46" s="27"/>
      <c r="L46" s="27">
        <f>SUM(L47)</f>
        <v>403871</v>
      </c>
      <c r="M46" s="27"/>
      <c r="N46" s="27">
        <f>SUM(N47)</f>
        <v>403871</v>
      </c>
      <c r="O46" s="27"/>
      <c r="P46" s="27"/>
      <c r="Q46" s="27">
        <f aca="true" t="shared" si="22" ref="Q46:S47">SUM(Q47)</f>
        <v>403871</v>
      </c>
      <c r="R46" s="27"/>
      <c r="S46" s="27">
        <f t="shared" si="22"/>
        <v>403871</v>
      </c>
      <c r="T46" s="27"/>
      <c r="U46" s="27"/>
      <c r="V46" s="27"/>
      <c r="W46" s="27"/>
    </row>
    <row r="47" spans="1:23" ht="12.75">
      <c r="A47" s="29" t="s">
        <v>12</v>
      </c>
      <c r="B47" s="27" t="s">
        <v>321</v>
      </c>
      <c r="C47" s="51" t="s">
        <v>325</v>
      </c>
      <c r="D47" s="51">
        <v>10</v>
      </c>
      <c r="E47" s="51" t="s">
        <v>331</v>
      </c>
      <c r="F47" s="50"/>
      <c r="G47" s="27">
        <f>SUM(G48)</f>
        <v>404060</v>
      </c>
      <c r="H47" s="27"/>
      <c r="I47" s="27">
        <f>SUM(I48)</f>
        <v>404060</v>
      </c>
      <c r="J47" s="27"/>
      <c r="K47" s="27"/>
      <c r="L47" s="27">
        <f>SUM(L48)</f>
        <v>403871</v>
      </c>
      <c r="M47" s="27"/>
      <c r="N47" s="27">
        <f>SUM(N48)</f>
        <v>403871</v>
      </c>
      <c r="O47" s="27"/>
      <c r="P47" s="27"/>
      <c r="Q47" s="27">
        <f t="shared" si="22"/>
        <v>403871</v>
      </c>
      <c r="R47" s="27"/>
      <c r="S47" s="27">
        <f t="shared" si="22"/>
        <v>403871</v>
      </c>
      <c r="T47" s="27"/>
      <c r="U47" s="27"/>
      <c r="V47" s="27"/>
      <c r="W47" s="27"/>
    </row>
    <row r="48" spans="1:23" ht="12.75">
      <c r="A48" s="29" t="s">
        <v>332</v>
      </c>
      <c r="B48" s="27" t="s">
        <v>321</v>
      </c>
      <c r="C48" s="51" t="s">
        <v>325</v>
      </c>
      <c r="D48" s="55">
        <v>10</v>
      </c>
      <c r="E48" s="51" t="s">
        <v>331</v>
      </c>
      <c r="F48" s="51" t="s">
        <v>333</v>
      </c>
      <c r="G48" s="27">
        <f>SUM(I48+J48)</f>
        <v>404060</v>
      </c>
      <c r="H48" s="27"/>
      <c r="I48" s="27">
        <f>SUM('522 51 00'!H79)</f>
        <v>404060</v>
      </c>
      <c r="J48" s="27"/>
      <c r="K48" s="27"/>
      <c r="L48" s="27">
        <f>SUM(N48+O48)</f>
        <v>403871</v>
      </c>
      <c r="M48" s="27"/>
      <c r="N48" s="27">
        <f>SUM('522 51 00'!L79)</f>
        <v>403871</v>
      </c>
      <c r="O48" s="27"/>
      <c r="P48" s="27"/>
      <c r="Q48" s="27">
        <f>SUM(S48+T48)</f>
        <v>403871</v>
      </c>
      <c r="R48" s="27"/>
      <c r="S48" s="27">
        <f>'522 51 00'!P79</f>
        <v>403871</v>
      </c>
      <c r="T48" s="27"/>
      <c r="U48" s="27"/>
      <c r="V48" s="27">
        <f>N48/I48*100</f>
        <v>99.95322476859873</v>
      </c>
      <c r="W48" s="27">
        <f>S48/N48*100</f>
        <v>100</v>
      </c>
    </row>
    <row r="49" spans="1:23" ht="12.75">
      <c r="A49" s="27" t="s">
        <v>13</v>
      </c>
      <c r="B49" s="27" t="s">
        <v>321</v>
      </c>
      <c r="C49" s="51" t="s">
        <v>325</v>
      </c>
      <c r="D49" s="51" t="s">
        <v>347</v>
      </c>
      <c r="E49" s="51"/>
      <c r="F49" s="51"/>
      <c r="G49" s="27">
        <f>SUM(I49+J49)</f>
        <v>1.2</v>
      </c>
      <c r="H49" s="27"/>
      <c r="I49" s="27">
        <f>I50</f>
        <v>1.2</v>
      </c>
      <c r="J49" s="27"/>
      <c r="K49" s="27"/>
      <c r="L49" s="27">
        <f>SUM(N49+O49)</f>
        <v>1.2</v>
      </c>
      <c r="M49" s="27"/>
      <c r="N49" s="27">
        <f>N50</f>
        <v>1.2</v>
      </c>
      <c r="O49" s="27"/>
      <c r="P49" s="27"/>
      <c r="Q49" s="27">
        <f>Q50</f>
        <v>1.2</v>
      </c>
      <c r="R49" s="27"/>
      <c r="S49" s="27">
        <f>S50</f>
        <v>1.2</v>
      </c>
      <c r="T49" s="27"/>
      <c r="U49" s="27"/>
      <c r="V49" s="27">
        <f>N49/I49*100</f>
        <v>100</v>
      </c>
      <c r="W49" s="27">
        <f>S49/N49*100</f>
        <v>100</v>
      </c>
    </row>
    <row r="50" spans="1:23" ht="12.75">
      <c r="A50" s="52" t="s">
        <v>14</v>
      </c>
      <c r="B50" s="27" t="s">
        <v>321</v>
      </c>
      <c r="C50" s="51" t="s">
        <v>325</v>
      </c>
      <c r="D50" s="51" t="s">
        <v>347</v>
      </c>
      <c r="E50" s="51" t="s">
        <v>21</v>
      </c>
      <c r="F50" s="51"/>
      <c r="G50" s="27">
        <f>SUM(I50+J50)</f>
        <v>1.2</v>
      </c>
      <c r="H50" s="27"/>
      <c r="I50" s="27">
        <f>I51</f>
        <v>1.2</v>
      </c>
      <c r="J50" s="27"/>
      <c r="K50" s="27"/>
      <c r="L50" s="27">
        <f>SUM(N50+O50)</f>
        <v>1.2</v>
      </c>
      <c r="M50" s="27"/>
      <c r="N50" s="27">
        <f>N51</f>
        <v>1.2</v>
      </c>
      <c r="O50" s="27"/>
      <c r="P50" s="27"/>
      <c r="Q50" s="27">
        <f>Q51</f>
        <v>1.2</v>
      </c>
      <c r="R50" s="27"/>
      <c r="S50" s="27">
        <f>S51</f>
        <v>1.2</v>
      </c>
      <c r="T50" s="27"/>
      <c r="U50" s="27"/>
      <c r="V50" s="27"/>
      <c r="W50" s="27"/>
    </row>
    <row r="51" spans="1:23" ht="12.75">
      <c r="A51" s="29" t="s">
        <v>345</v>
      </c>
      <c r="B51" s="27" t="s">
        <v>321</v>
      </c>
      <c r="C51" s="51" t="s">
        <v>325</v>
      </c>
      <c r="D51" s="51" t="s">
        <v>347</v>
      </c>
      <c r="E51" s="51" t="s">
        <v>21</v>
      </c>
      <c r="F51" s="51" t="s">
        <v>346</v>
      </c>
      <c r="G51" s="27">
        <f>SUM(I51+J51)</f>
        <v>1.2</v>
      </c>
      <c r="H51" s="27"/>
      <c r="I51" s="27">
        <f>'522 51 00'!H75</f>
        <v>1.2</v>
      </c>
      <c r="J51" s="27"/>
      <c r="K51" s="27"/>
      <c r="L51" s="27">
        <f>SUM(N51+O51)</f>
        <v>1.2</v>
      </c>
      <c r="M51" s="27"/>
      <c r="N51" s="27">
        <f>'522 51 00'!L75</f>
        <v>1.2</v>
      </c>
      <c r="O51" s="27"/>
      <c r="P51" s="27"/>
      <c r="Q51" s="27">
        <f>S51</f>
        <v>1.2</v>
      </c>
      <c r="R51" s="27"/>
      <c r="S51" s="27">
        <f>SUM('522 51 00'!P76)</f>
        <v>1.2</v>
      </c>
      <c r="T51" s="27"/>
      <c r="U51" s="27"/>
      <c r="V51" s="27">
        <f>N51/I51*100</f>
        <v>100</v>
      </c>
      <c r="W51" s="27">
        <f>S51/N51*100</f>
        <v>100</v>
      </c>
    </row>
    <row r="52" spans="1:23" ht="40.5">
      <c r="A52" s="211" t="s">
        <v>322</v>
      </c>
      <c r="B52" s="84" t="s">
        <v>323</v>
      </c>
      <c r="C52" s="174"/>
      <c r="D52" s="82"/>
      <c r="E52" s="174"/>
      <c r="F52" s="174"/>
      <c r="G52" s="84">
        <f aca="true" t="shared" si="23" ref="G52:Q52">SUM(G53)</f>
        <v>76935.9</v>
      </c>
      <c r="H52" s="84"/>
      <c r="I52" s="84">
        <f t="shared" si="23"/>
        <v>54108.3</v>
      </c>
      <c r="J52" s="84">
        <f t="shared" si="23"/>
        <v>0</v>
      </c>
      <c r="K52" s="84">
        <f t="shared" si="23"/>
        <v>22827.6</v>
      </c>
      <c r="L52" s="84">
        <f t="shared" si="23"/>
        <v>68617</v>
      </c>
      <c r="M52" s="84"/>
      <c r="N52" s="84">
        <f t="shared" si="23"/>
        <v>47703.5</v>
      </c>
      <c r="O52" s="84">
        <f t="shared" si="23"/>
        <v>0</v>
      </c>
      <c r="P52" s="84">
        <f t="shared" si="23"/>
        <v>20913.5</v>
      </c>
      <c r="Q52" s="84">
        <f t="shared" si="23"/>
        <v>68705.16299902233</v>
      </c>
      <c r="R52" s="84"/>
      <c r="S52" s="84">
        <f>SUM(S53)</f>
        <v>47703.5</v>
      </c>
      <c r="T52" s="84">
        <f>SUM(T53)</f>
        <v>88.16299902233114</v>
      </c>
      <c r="U52" s="84">
        <f>SUM(U53)</f>
        <v>20913.5</v>
      </c>
      <c r="V52" s="84">
        <f>N52/I52*100</f>
        <v>88.16299902233114</v>
      </c>
      <c r="W52" s="84">
        <f>S52/N52*100</f>
        <v>100</v>
      </c>
    </row>
    <row r="53" spans="1:23" ht="40.5">
      <c r="A53" s="48" t="s">
        <v>324</v>
      </c>
      <c r="B53" s="28" t="s">
        <v>323</v>
      </c>
      <c r="C53" s="47" t="s">
        <v>325</v>
      </c>
      <c r="D53" s="28"/>
      <c r="E53" s="56"/>
      <c r="F53" s="56"/>
      <c r="G53" s="28">
        <f aca="true" t="shared" si="24" ref="G53:Q55">G54</f>
        <v>76935.9</v>
      </c>
      <c r="H53" s="28"/>
      <c r="I53" s="28">
        <f t="shared" si="24"/>
        <v>54108.3</v>
      </c>
      <c r="J53" s="28">
        <f t="shared" si="24"/>
        <v>0</v>
      </c>
      <c r="K53" s="28">
        <f t="shared" si="24"/>
        <v>22827.6</v>
      </c>
      <c r="L53" s="28">
        <f t="shared" si="24"/>
        <v>68617</v>
      </c>
      <c r="M53" s="28"/>
      <c r="N53" s="28">
        <f t="shared" si="24"/>
        <v>47703.5</v>
      </c>
      <c r="O53" s="28"/>
      <c r="P53" s="28">
        <f t="shared" si="24"/>
        <v>20913.5</v>
      </c>
      <c r="Q53" s="28">
        <f t="shared" si="24"/>
        <v>68705.16299902233</v>
      </c>
      <c r="R53" s="28"/>
      <c r="S53" s="28">
        <f aca="true" t="shared" si="25" ref="S53:U55">S54</f>
        <v>47703.5</v>
      </c>
      <c r="T53" s="28">
        <f t="shared" si="25"/>
        <v>88.16299902233114</v>
      </c>
      <c r="U53" s="28">
        <f t="shared" si="25"/>
        <v>20913.5</v>
      </c>
      <c r="V53" s="28">
        <f>N53/I53*100</f>
        <v>88.16299902233114</v>
      </c>
      <c r="W53" s="28">
        <f>S53/N53*100</f>
        <v>100</v>
      </c>
    </row>
    <row r="54" spans="1:23" ht="12.75">
      <c r="A54" s="27" t="s">
        <v>328</v>
      </c>
      <c r="B54" s="27" t="s">
        <v>323</v>
      </c>
      <c r="C54" s="49" t="s">
        <v>325</v>
      </c>
      <c r="D54" s="49" t="s">
        <v>329</v>
      </c>
      <c r="E54" s="51"/>
      <c r="F54" s="51"/>
      <c r="G54" s="27">
        <f t="shared" si="24"/>
        <v>76935.9</v>
      </c>
      <c r="H54" s="27"/>
      <c r="I54" s="27">
        <f t="shared" si="24"/>
        <v>54108.3</v>
      </c>
      <c r="J54" s="27">
        <f t="shared" si="24"/>
        <v>0</v>
      </c>
      <c r="K54" s="27">
        <f t="shared" si="24"/>
        <v>22827.6</v>
      </c>
      <c r="L54" s="27">
        <f t="shared" si="24"/>
        <v>68617</v>
      </c>
      <c r="M54" s="27"/>
      <c r="N54" s="27">
        <f t="shared" si="24"/>
        <v>47703.5</v>
      </c>
      <c r="O54" s="27"/>
      <c r="P54" s="27">
        <f t="shared" si="24"/>
        <v>20913.5</v>
      </c>
      <c r="Q54" s="27">
        <f t="shared" si="24"/>
        <v>68705.16299902233</v>
      </c>
      <c r="R54" s="27"/>
      <c r="S54" s="27">
        <f t="shared" si="25"/>
        <v>47703.5</v>
      </c>
      <c r="T54" s="27">
        <f t="shared" si="25"/>
        <v>88.16299902233114</v>
      </c>
      <c r="U54" s="27">
        <f t="shared" si="25"/>
        <v>20913.5</v>
      </c>
      <c r="V54" s="27"/>
      <c r="W54" s="27"/>
    </row>
    <row r="55" spans="1:23" ht="12.75">
      <c r="A55" s="27" t="s">
        <v>330</v>
      </c>
      <c r="B55" s="27" t="s">
        <v>323</v>
      </c>
      <c r="C55" s="49" t="s">
        <v>325</v>
      </c>
      <c r="D55" s="49" t="s">
        <v>329</v>
      </c>
      <c r="E55" s="51" t="s">
        <v>331</v>
      </c>
      <c r="F55" s="51"/>
      <c r="G55" s="27">
        <f t="shared" si="24"/>
        <v>76935.9</v>
      </c>
      <c r="H55" s="27"/>
      <c r="I55" s="27">
        <f t="shared" si="24"/>
        <v>54108.3</v>
      </c>
      <c r="J55" s="27">
        <f t="shared" si="24"/>
        <v>0</v>
      </c>
      <c r="K55" s="27">
        <f t="shared" si="24"/>
        <v>22827.6</v>
      </c>
      <c r="L55" s="27">
        <f t="shared" si="24"/>
        <v>68617</v>
      </c>
      <c r="M55" s="27"/>
      <c r="N55" s="27">
        <f t="shared" si="24"/>
        <v>47703.5</v>
      </c>
      <c r="O55" s="27"/>
      <c r="P55" s="27">
        <f t="shared" si="24"/>
        <v>20913.5</v>
      </c>
      <c r="Q55" s="27">
        <f t="shared" si="24"/>
        <v>68705.16299902233</v>
      </c>
      <c r="R55" s="27"/>
      <c r="S55" s="27">
        <f t="shared" si="25"/>
        <v>47703.5</v>
      </c>
      <c r="T55" s="27">
        <f t="shared" si="25"/>
        <v>88.16299902233114</v>
      </c>
      <c r="U55" s="27">
        <f t="shared" si="25"/>
        <v>20913.5</v>
      </c>
      <c r="V55" s="27"/>
      <c r="W55" s="27"/>
    </row>
    <row r="56" spans="1:23" ht="12.75">
      <c r="A56" s="27" t="s">
        <v>332</v>
      </c>
      <c r="B56" s="27" t="s">
        <v>323</v>
      </c>
      <c r="C56" s="49" t="s">
        <v>325</v>
      </c>
      <c r="D56" s="49" t="s">
        <v>329</v>
      </c>
      <c r="E56" s="51" t="s">
        <v>331</v>
      </c>
      <c r="F56" s="51" t="s">
        <v>333</v>
      </c>
      <c r="G56" s="27">
        <f>H56+I56+J56+K56</f>
        <v>76935.9</v>
      </c>
      <c r="H56" s="27"/>
      <c r="I56" s="27">
        <f>SUM('522 51 00'!H85)</f>
        <v>54108.3</v>
      </c>
      <c r="J56" s="27">
        <f>SUM('522 51 00'!I85)</f>
        <v>0</v>
      </c>
      <c r="K56" s="27">
        <f>'522 51 00'!J85</f>
        <v>22827.6</v>
      </c>
      <c r="L56" s="27">
        <f>M56+N56+O56+P56</f>
        <v>68617</v>
      </c>
      <c r="M56" s="27"/>
      <c r="N56" s="27">
        <f>'522 51 00'!L85</f>
        <v>47703.5</v>
      </c>
      <c r="O56" s="27"/>
      <c r="P56" s="27">
        <f>'522 51 00'!N85</f>
        <v>20913.5</v>
      </c>
      <c r="Q56" s="27">
        <f>R56+S56+T56+U56</f>
        <v>68705.16299902233</v>
      </c>
      <c r="R56" s="27"/>
      <c r="S56" s="27">
        <f>'522 51 00'!P85</f>
        <v>47703.5</v>
      </c>
      <c r="T56" s="27">
        <f>SUM('522 51 00'!S85)</f>
        <v>88.16299902233114</v>
      </c>
      <c r="U56" s="27">
        <f>'522 51 00'!R85</f>
        <v>20913.5</v>
      </c>
      <c r="V56" s="27">
        <f>N56/I56*100</f>
        <v>88.16299902233114</v>
      </c>
      <c r="W56" s="27">
        <f>S56/N56*100</f>
        <v>100</v>
      </c>
    </row>
    <row r="57" spans="1:23" ht="27">
      <c r="A57" s="211" t="s">
        <v>55</v>
      </c>
      <c r="B57" s="84" t="s">
        <v>56</v>
      </c>
      <c r="C57" s="174"/>
      <c r="D57" s="82"/>
      <c r="E57" s="174"/>
      <c r="F57" s="174"/>
      <c r="G57" s="84">
        <f aca="true" t="shared" si="26" ref="G57:U60">G58</f>
        <v>40000</v>
      </c>
      <c r="H57" s="84"/>
      <c r="I57" s="84">
        <f t="shared" si="26"/>
        <v>20000</v>
      </c>
      <c r="J57" s="84">
        <f t="shared" si="26"/>
        <v>0</v>
      </c>
      <c r="K57" s="84">
        <f t="shared" si="26"/>
        <v>20000</v>
      </c>
      <c r="L57" s="84">
        <f t="shared" si="26"/>
        <v>45069.5</v>
      </c>
      <c r="M57" s="84"/>
      <c r="N57" s="84">
        <f t="shared" si="26"/>
        <v>19480.5</v>
      </c>
      <c r="O57" s="84">
        <f t="shared" si="26"/>
        <v>0</v>
      </c>
      <c r="P57" s="84">
        <f>P58</f>
        <v>25589</v>
      </c>
      <c r="Q57" s="84">
        <f t="shared" si="26"/>
        <v>45069.5</v>
      </c>
      <c r="R57" s="84"/>
      <c r="S57" s="84">
        <f t="shared" si="26"/>
        <v>19480.5</v>
      </c>
      <c r="T57" s="84">
        <f t="shared" si="26"/>
        <v>0</v>
      </c>
      <c r="U57" s="84">
        <f>U58</f>
        <v>25589</v>
      </c>
      <c r="V57" s="84">
        <f>N57/I57*100</f>
        <v>97.4025</v>
      </c>
      <c r="W57" s="84">
        <f>S57/N57*100</f>
        <v>100</v>
      </c>
    </row>
    <row r="58" spans="1:23" ht="33" customHeight="1">
      <c r="A58" s="48" t="s">
        <v>324</v>
      </c>
      <c r="B58" s="28" t="s">
        <v>56</v>
      </c>
      <c r="C58" s="47" t="s">
        <v>325</v>
      </c>
      <c r="D58" s="28" t="s">
        <v>329</v>
      </c>
      <c r="E58" s="56"/>
      <c r="F58" s="56"/>
      <c r="G58" s="28">
        <f t="shared" si="26"/>
        <v>40000</v>
      </c>
      <c r="H58" s="28"/>
      <c r="I58" s="28">
        <f t="shared" si="26"/>
        <v>20000</v>
      </c>
      <c r="J58" s="28">
        <f t="shared" si="26"/>
        <v>0</v>
      </c>
      <c r="K58" s="28">
        <f t="shared" si="26"/>
        <v>20000</v>
      </c>
      <c r="L58" s="28">
        <f t="shared" si="26"/>
        <v>45069.5</v>
      </c>
      <c r="M58" s="28"/>
      <c r="N58" s="28">
        <f t="shared" si="26"/>
        <v>19480.5</v>
      </c>
      <c r="O58" s="28">
        <f t="shared" si="26"/>
        <v>0</v>
      </c>
      <c r="P58" s="28">
        <f t="shared" si="26"/>
        <v>25589</v>
      </c>
      <c r="Q58" s="28">
        <f t="shared" si="26"/>
        <v>45069.5</v>
      </c>
      <c r="R58" s="28"/>
      <c r="S58" s="28">
        <f t="shared" si="26"/>
        <v>19480.5</v>
      </c>
      <c r="T58" s="28">
        <f t="shared" si="26"/>
        <v>0</v>
      </c>
      <c r="U58" s="28">
        <f t="shared" si="26"/>
        <v>25589</v>
      </c>
      <c r="V58" s="28">
        <f>N58/I58*100</f>
        <v>97.4025</v>
      </c>
      <c r="W58" s="28">
        <f>S58/N58*100</f>
        <v>100</v>
      </c>
    </row>
    <row r="59" spans="1:23" ht="12.75">
      <c r="A59" s="27" t="s">
        <v>328</v>
      </c>
      <c r="B59" s="27" t="s">
        <v>56</v>
      </c>
      <c r="C59" s="49" t="s">
        <v>325</v>
      </c>
      <c r="D59" s="49" t="s">
        <v>329</v>
      </c>
      <c r="E59" s="51" t="s">
        <v>331</v>
      </c>
      <c r="F59" s="51"/>
      <c r="G59" s="27">
        <f t="shared" si="26"/>
        <v>40000</v>
      </c>
      <c r="H59" s="27"/>
      <c r="I59" s="27">
        <f t="shared" si="26"/>
        <v>20000</v>
      </c>
      <c r="J59" s="27">
        <f t="shared" si="26"/>
        <v>0</v>
      </c>
      <c r="K59" s="27">
        <f t="shared" si="26"/>
        <v>20000</v>
      </c>
      <c r="L59" s="27">
        <f t="shared" si="26"/>
        <v>45069.5</v>
      </c>
      <c r="M59" s="27"/>
      <c r="N59" s="27">
        <f t="shared" si="26"/>
        <v>19480.5</v>
      </c>
      <c r="O59" s="27">
        <f t="shared" si="26"/>
        <v>0</v>
      </c>
      <c r="P59" s="27">
        <f t="shared" si="26"/>
        <v>25589</v>
      </c>
      <c r="Q59" s="27">
        <f t="shared" si="26"/>
        <v>45069.5</v>
      </c>
      <c r="R59" s="27"/>
      <c r="S59" s="27">
        <f t="shared" si="26"/>
        <v>19480.5</v>
      </c>
      <c r="T59" s="27">
        <f t="shared" si="26"/>
        <v>0</v>
      </c>
      <c r="U59" s="27">
        <f t="shared" si="26"/>
        <v>25589</v>
      </c>
      <c r="V59" s="27"/>
      <c r="W59" s="27"/>
    </row>
    <row r="60" spans="1:23" ht="12.75">
      <c r="A60" s="27" t="s">
        <v>330</v>
      </c>
      <c r="B60" s="27" t="s">
        <v>56</v>
      </c>
      <c r="C60" s="49" t="s">
        <v>325</v>
      </c>
      <c r="D60" s="49" t="s">
        <v>329</v>
      </c>
      <c r="E60" s="51" t="s">
        <v>331</v>
      </c>
      <c r="F60" s="51"/>
      <c r="G60" s="27">
        <f t="shared" si="26"/>
        <v>40000</v>
      </c>
      <c r="H60" s="27"/>
      <c r="I60" s="27">
        <f t="shared" si="26"/>
        <v>20000</v>
      </c>
      <c r="J60" s="27">
        <f t="shared" si="26"/>
        <v>0</v>
      </c>
      <c r="K60" s="27">
        <f t="shared" si="26"/>
        <v>20000</v>
      </c>
      <c r="L60" s="27">
        <f t="shared" si="26"/>
        <v>45069.5</v>
      </c>
      <c r="M60" s="27"/>
      <c r="N60" s="27">
        <f t="shared" si="26"/>
        <v>19480.5</v>
      </c>
      <c r="O60" s="27">
        <f t="shared" si="26"/>
        <v>0</v>
      </c>
      <c r="P60" s="27">
        <f t="shared" si="26"/>
        <v>25589</v>
      </c>
      <c r="Q60" s="27">
        <f t="shared" si="26"/>
        <v>45069.5</v>
      </c>
      <c r="R60" s="27"/>
      <c r="S60" s="27">
        <f t="shared" si="26"/>
        <v>19480.5</v>
      </c>
      <c r="T60" s="27">
        <f t="shared" si="26"/>
        <v>0</v>
      </c>
      <c r="U60" s="27">
        <f t="shared" si="26"/>
        <v>25589</v>
      </c>
      <c r="V60" s="27"/>
      <c r="W60" s="27"/>
    </row>
    <row r="61" spans="1:23" ht="12.75">
      <c r="A61" s="27" t="s">
        <v>332</v>
      </c>
      <c r="B61" s="27" t="s">
        <v>57</v>
      </c>
      <c r="C61" s="49" t="s">
        <v>325</v>
      </c>
      <c r="D61" s="49" t="s">
        <v>329</v>
      </c>
      <c r="E61" s="51" t="s">
        <v>331</v>
      </c>
      <c r="F61" s="51" t="s">
        <v>333</v>
      </c>
      <c r="G61" s="27">
        <f>H61+I61+J61+K61</f>
        <v>40000</v>
      </c>
      <c r="H61" s="27"/>
      <c r="I61" s="27">
        <f>SUM('522 51 00'!H92)</f>
        <v>20000</v>
      </c>
      <c r="J61" s="27">
        <f>'522 51 00'!I92</f>
        <v>0</v>
      </c>
      <c r="K61" s="27">
        <f>'522 51 00'!J92</f>
        <v>20000</v>
      </c>
      <c r="L61" s="27">
        <f>M61+N61+O61+P61</f>
        <v>45069.5</v>
      </c>
      <c r="M61" s="27"/>
      <c r="N61" s="27">
        <f>SUM('522 51 00'!L92)</f>
        <v>19480.5</v>
      </c>
      <c r="O61" s="27">
        <f>'522 51 00'!M92</f>
        <v>0</v>
      </c>
      <c r="P61" s="27">
        <f>'522 51 00'!N92</f>
        <v>25589</v>
      </c>
      <c r="Q61" s="27">
        <f>R61+S61+T61+U61</f>
        <v>45069.5</v>
      </c>
      <c r="R61" s="27"/>
      <c r="S61" s="27">
        <f>SUM('522 51 00'!P92)</f>
        <v>19480.5</v>
      </c>
      <c r="T61" s="27">
        <f>'522 51 00'!Q91</f>
        <v>0</v>
      </c>
      <c r="U61" s="27">
        <f>'522 51 00'!R92</f>
        <v>25589</v>
      </c>
      <c r="V61" s="27">
        <f>N61/I61*100</f>
        <v>97.4025</v>
      </c>
      <c r="W61" s="27">
        <f>S61/N61*100</f>
        <v>100</v>
      </c>
    </row>
    <row r="62" spans="1:23" ht="38.25">
      <c r="A62" s="209" t="s">
        <v>326</v>
      </c>
      <c r="B62" s="84" t="s">
        <v>327</v>
      </c>
      <c r="C62" s="174"/>
      <c r="D62" s="82"/>
      <c r="E62" s="174"/>
      <c r="F62" s="174"/>
      <c r="G62" s="84">
        <f>SUM(G65+G87)</f>
        <v>643089.2000000001</v>
      </c>
      <c r="H62" s="84">
        <f>H65+H87</f>
        <v>22192.5</v>
      </c>
      <c r="I62" s="84">
        <f>SUM(I65+I87)</f>
        <v>617565.9</v>
      </c>
      <c r="J62" s="84">
        <f>SUM(J65)</f>
        <v>3330.7999999999997</v>
      </c>
      <c r="K62" s="84"/>
      <c r="L62" s="84">
        <f>L65+L87</f>
        <v>393312.80000000005</v>
      </c>
      <c r="M62" s="84">
        <f>M65+M87</f>
        <v>16616.7</v>
      </c>
      <c r="N62" s="84">
        <f>N65+N87</f>
        <v>375146.2</v>
      </c>
      <c r="O62" s="84">
        <f>SUM(O65)</f>
        <v>1549.8999999999996</v>
      </c>
      <c r="P62" s="84"/>
      <c r="Q62" s="84">
        <f>SUM(Q65)</f>
        <v>463221.6</v>
      </c>
      <c r="R62" s="84">
        <f>R65+R87</f>
        <v>4791</v>
      </c>
      <c r="S62" s="84">
        <f>S65+S87</f>
        <v>467962.49999999994</v>
      </c>
      <c r="T62" s="84">
        <f>T65+T87</f>
        <v>2517.9000000000005</v>
      </c>
      <c r="U62" s="84"/>
      <c r="V62" s="84">
        <f>N62/I62*100</f>
        <v>60.745938206756556</v>
      </c>
      <c r="W62" s="84">
        <f>(Q62/L62)*100</f>
        <v>117.77435161021963</v>
      </c>
    </row>
    <row r="63" spans="1:23" s="148" customFormat="1" ht="12.75">
      <c r="A63" s="432" t="s">
        <v>196</v>
      </c>
      <c r="B63" s="135"/>
      <c r="C63" s="152"/>
      <c r="D63" s="135"/>
      <c r="E63" s="152"/>
      <c r="F63" s="152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250">
        <f>'522 52 00'!Q9</f>
        <v>1213.1</v>
      </c>
      <c r="T63" s="250">
        <f>'522 52 00'!R9</f>
        <v>12.3</v>
      </c>
      <c r="U63" s="135"/>
      <c r="V63" s="135"/>
      <c r="W63" s="135"/>
    </row>
    <row r="64" spans="1:23" s="193" customFormat="1" ht="12.75">
      <c r="A64" s="435" t="s">
        <v>195</v>
      </c>
      <c r="B64" s="187"/>
      <c r="C64" s="219"/>
      <c r="D64" s="187"/>
      <c r="E64" s="219"/>
      <c r="F64" s="219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35">
        <f>'522 52 00'!Q10</f>
        <v>119544.89999999998</v>
      </c>
      <c r="T64" s="135">
        <f>'522 52 00'!R10</f>
        <v>1237.9</v>
      </c>
      <c r="U64" s="187"/>
      <c r="V64" s="187"/>
      <c r="W64" s="187"/>
    </row>
    <row r="65" spans="1:23" ht="40.5">
      <c r="A65" s="48" t="s">
        <v>324</v>
      </c>
      <c r="B65" s="27" t="s">
        <v>327</v>
      </c>
      <c r="C65" s="49" t="s">
        <v>325</v>
      </c>
      <c r="D65" s="27"/>
      <c r="E65" s="50"/>
      <c r="F65" s="50"/>
      <c r="G65" s="28">
        <f aca="true" t="shared" si="27" ref="G65:O65">G66+G73+G80+G83</f>
        <v>627565.6000000001</v>
      </c>
      <c r="H65" s="28">
        <f>H80+H86</f>
        <v>22192.5</v>
      </c>
      <c r="I65" s="28">
        <f t="shared" si="27"/>
        <v>602042.3</v>
      </c>
      <c r="J65" s="28">
        <f t="shared" si="27"/>
        <v>3330.7999999999997</v>
      </c>
      <c r="K65" s="28"/>
      <c r="L65" s="28">
        <f>M65+N65+O65+P65</f>
        <v>381263.00000000006</v>
      </c>
      <c r="M65" s="28">
        <f>M80+M86</f>
        <v>16616.7</v>
      </c>
      <c r="N65" s="28">
        <f t="shared" si="27"/>
        <v>363096.4</v>
      </c>
      <c r="O65" s="28">
        <f t="shared" si="27"/>
        <v>1549.8999999999996</v>
      </c>
      <c r="P65" s="28"/>
      <c r="Q65" s="28">
        <f>Q66+Q73+Q80+Q83</f>
        <v>463221.6</v>
      </c>
      <c r="R65" s="28">
        <f>R80+R86</f>
        <v>4791</v>
      </c>
      <c r="S65" s="28">
        <f>S66+S73+S80+S83</f>
        <v>455912.69999999995</v>
      </c>
      <c r="T65" s="28">
        <f>T66+T73+T80+T83</f>
        <v>2517.9000000000005</v>
      </c>
      <c r="U65" s="28"/>
      <c r="V65" s="28">
        <f aca="true" t="shared" si="28" ref="V65:V70">N65/I65*100</f>
        <v>60.310778827334886</v>
      </c>
      <c r="W65" s="28">
        <f>(Q65/L65)*100</f>
        <v>121.49660470593786</v>
      </c>
    </row>
    <row r="66" spans="1:23" ht="12.75">
      <c r="A66" s="27" t="s">
        <v>5</v>
      </c>
      <c r="B66" s="27" t="s">
        <v>327</v>
      </c>
      <c r="C66" s="49" t="s">
        <v>325</v>
      </c>
      <c r="D66" s="51" t="s">
        <v>368</v>
      </c>
      <c r="E66" s="50"/>
      <c r="F66" s="50"/>
      <c r="G66" s="27">
        <f>G67</f>
        <v>203258.7</v>
      </c>
      <c r="H66" s="27"/>
      <c r="I66" s="27">
        <f>I67</f>
        <v>203240.6</v>
      </c>
      <c r="J66" s="27">
        <f>J67</f>
        <v>18.1</v>
      </c>
      <c r="K66" s="27"/>
      <c r="L66" s="27">
        <f>L67</f>
        <v>157267.8</v>
      </c>
      <c r="M66" s="27"/>
      <c r="N66" s="27">
        <f>N67</f>
        <v>157267.8</v>
      </c>
      <c r="O66" s="27">
        <f>O67</f>
        <v>0</v>
      </c>
      <c r="P66" s="27"/>
      <c r="Q66" s="27">
        <f>Q67</f>
        <v>157267.8</v>
      </c>
      <c r="R66" s="27"/>
      <c r="S66" s="27">
        <f>S67</f>
        <v>157267.8</v>
      </c>
      <c r="T66" s="27">
        <f>T67</f>
        <v>0</v>
      </c>
      <c r="U66" s="27"/>
      <c r="V66" s="27">
        <f t="shared" si="28"/>
        <v>77.38011007643158</v>
      </c>
      <c r="W66" s="27">
        <f>(Q66/L66)*100</f>
        <v>100</v>
      </c>
    </row>
    <row r="67" spans="1:23" ht="12.75">
      <c r="A67" s="29" t="s">
        <v>59</v>
      </c>
      <c r="B67" s="27" t="s">
        <v>327</v>
      </c>
      <c r="C67" s="49" t="s">
        <v>325</v>
      </c>
      <c r="D67" s="51" t="s">
        <v>368</v>
      </c>
      <c r="E67" s="51" t="s">
        <v>350</v>
      </c>
      <c r="F67" s="50"/>
      <c r="G67" s="27">
        <f>G68+G70+G72</f>
        <v>203258.7</v>
      </c>
      <c r="H67" s="27"/>
      <c r="I67" s="27">
        <f>I68+I70+I72</f>
        <v>203240.6</v>
      </c>
      <c r="J67" s="27">
        <f>J68+J70+J72</f>
        <v>18.1</v>
      </c>
      <c r="K67" s="27"/>
      <c r="L67" s="27">
        <f>L68+L70+L72</f>
        <v>157267.8</v>
      </c>
      <c r="M67" s="27"/>
      <c r="N67" s="27">
        <f>N68+N70+N72</f>
        <v>157267.8</v>
      </c>
      <c r="O67" s="27">
        <f>O68+O70+O72</f>
        <v>0</v>
      </c>
      <c r="P67" s="27"/>
      <c r="Q67" s="27">
        <f>Q68+Q70+Q72</f>
        <v>157267.8</v>
      </c>
      <c r="R67" s="27"/>
      <c r="S67" s="27">
        <f>S68+S70+S72</f>
        <v>157267.8</v>
      </c>
      <c r="T67" s="27">
        <f>T68+T70+T72</f>
        <v>0</v>
      </c>
      <c r="U67" s="27"/>
      <c r="V67" s="27">
        <f t="shared" si="28"/>
        <v>77.38011007643158</v>
      </c>
      <c r="W67" s="27">
        <f>S67/N67*100</f>
        <v>100</v>
      </c>
    </row>
    <row r="68" spans="1:23" ht="12.75">
      <c r="A68" s="220" t="s">
        <v>354</v>
      </c>
      <c r="B68" s="27" t="s">
        <v>327</v>
      </c>
      <c r="C68" s="49" t="s">
        <v>325</v>
      </c>
      <c r="D68" s="51" t="s">
        <v>368</v>
      </c>
      <c r="E68" s="51" t="s">
        <v>350</v>
      </c>
      <c r="F68" s="51" t="s">
        <v>355</v>
      </c>
      <c r="G68" s="27">
        <f>G69</f>
        <v>1450.6</v>
      </c>
      <c r="H68" s="27"/>
      <c r="I68" s="27">
        <f>I69</f>
        <v>1450.6</v>
      </c>
      <c r="J68" s="27">
        <f>J69</f>
        <v>0</v>
      </c>
      <c r="K68" s="27"/>
      <c r="L68" s="27">
        <f>L69</f>
        <v>551.4</v>
      </c>
      <c r="M68" s="27"/>
      <c r="N68" s="27">
        <f>N69</f>
        <v>551.4</v>
      </c>
      <c r="O68" s="27">
        <f>O69</f>
        <v>0</v>
      </c>
      <c r="P68" s="27"/>
      <c r="Q68" s="27">
        <f>Q69</f>
        <v>551.4</v>
      </c>
      <c r="R68" s="27"/>
      <c r="S68" s="27">
        <f>S69</f>
        <v>551.4</v>
      </c>
      <c r="T68" s="27">
        <f>T69</f>
        <v>0</v>
      </c>
      <c r="U68" s="27"/>
      <c r="V68" s="27">
        <f t="shared" si="28"/>
        <v>38.011857162553426</v>
      </c>
      <c r="W68" s="27">
        <f>S68/N68*100</f>
        <v>100</v>
      </c>
    </row>
    <row r="69" spans="1:23" ht="25.5">
      <c r="A69" s="29" t="s">
        <v>61</v>
      </c>
      <c r="B69" s="27" t="s">
        <v>327</v>
      </c>
      <c r="C69" s="49" t="s">
        <v>325</v>
      </c>
      <c r="D69" s="51" t="s">
        <v>368</v>
      </c>
      <c r="E69" s="51" t="s">
        <v>350</v>
      </c>
      <c r="F69" s="51" t="s">
        <v>355</v>
      </c>
      <c r="G69" s="27">
        <f>SUM(I69+J69)</f>
        <v>1450.6</v>
      </c>
      <c r="H69" s="27"/>
      <c r="I69" s="27">
        <f>SUM('522 52 00'!I14)</f>
        <v>1450.6</v>
      </c>
      <c r="J69" s="27">
        <f>SUM('522 52 00'!J14)</f>
        <v>0</v>
      </c>
      <c r="K69" s="27"/>
      <c r="L69" s="27">
        <f>SUM(N69+O69)</f>
        <v>551.4</v>
      </c>
      <c r="M69" s="27"/>
      <c r="N69" s="27">
        <f>SUM('522 52 00'!M14)</f>
        <v>551.4</v>
      </c>
      <c r="O69" s="27">
        <f>SUM('522 52 00'!N14)</f>
        <v>0</v>
      </c>
      <c r="P69" s="27"/>
      <c r="Q69" s="27">
        <f>SUM(S69+T69)</f>
        <v>551.4</v>
      </c>
      <c r="R69" s="27"/>
      <c r="S69" s="27">
        <f>SUM('522 52 00'!Q14)</f>
        <v>551.4</v>
      </c>
      <c r="T69" s="27">
        <f>SUM('522 52 00'!R14)</f>
        <v>0</v>
      </c>
      <c r="U69" s="27"/>
      <c r="V69" s="27">
        <f t="shared" si="28"/>
        <v>38.011857162553426</v>
      </c>
      <c r="W69" s="27">
        <f>S69/N69*100</f>
        <v>100</v>
      </c>
    </row>
    <row r="70" spans="1:23" ht="12.75">
      <c r="A70" s="29" t="s">
        <v>334</v>
      </c>
      <c r="B70" s="34" t="s">
        <v>327</v>
      </c>
      <c r="C70" s="49" t="s">
        <v>325</v>
      </c>
      <c r="D70" s="51" t="s">
        <v>368</v>
      </c>
      <c r="E70" s="51" t="s">
        <v>350</v>
      </c>
      <c r="F70" s="51" t="s">
        <v>335</v>
      </c>
      <c r="G70" s="27">
        <f>G71</f>
        <v>1808.1</v>
      </c>
      <c r="H70" s="27"/>
      <c r="I70" s="27">
        <f>I71</f>
        <v>1790</v>
      </c>
      <c r="J70" s="27">
        <f>J71</f>
        <v>18.1</v>
      </c>
      <c r="K70" s="27"/>
      <c r="L70" s="27">
        <f>L71</f>
        <v>1</v>
      </c>
      <c r="M70" s="27"/>
      <c r="N70" s="27">
        <f>N71</f>
        <v>1</v>
      </c>
      <c r="O70" s="27">
        <f>O71</f>
        <v>0</v>
      </c>
      <c r="P70" s="27"/>
      <c r="Q70" s="27">
        <f>Q71</f>
        <v>1</v>
      </c>
      <c r="R70" s="27"/>
      <c r="S70" s="27">
        <f>S71</f>
        <v>1</v>
      </c>
      <c r="T70" s="27">
        <f>T71</f>
        <v>0</v>
      </c>
      <c r="U70" s="27"/>
      <c r="V70" s="27">
        <f t="shared" si="28"/>
        <v>0.055865921787709494</v>
      </c>
      <c r="W70" s="27">
        <f>S70/N70*100</f>
        <v>100</v>
      </c>
    </row>
    <row r="71" spans="1:23" s="70" customFormat="1" ht="12.75">
      <c r="A71" s="216" t="s">
        <v>336</v>
      </c>
      <c r="B71" s="221" t="s">
        <v>327</v>
      </c>
      <c r="C71" s="214" t="s">
        <v>325</v>
      </c>
      <c r="D71" s="215" t="s">
        <v>368</v>
      </c>
      <c r="E71" s="215" t="s">
        <v>350</v>
      </c>
      <c r="F71" s="215" t="s">
        <v>335</v>
      </c>
      <c r="G71" s="71">
        <f>I71+J71</f>
        <v>1808.1</v>
      </c>
      <c r="H71" s="71"/>
      <c r="I71" s="71">
        <f>'522 52 00'!I18</f>
        <v>1790</v>
      </c>
      <c r="J71" s="71">
        <f>'522 52 00'!J18</f>
        <v>18.1</v>
      </c>
      <c r="K71" s="71"/>
      <c r="L71" s="71">
        <f>N71+O71</f>
        <v>1</v>
      </c>
      <c r="M71" s="71"/>
      <c r="N71" s="71">
        <f>'522 52 00'!M19</f>
        <v>1</v>
      </c>
      <c r="O71" s="71">
        <f>'522 52 00'!N18</f>
        <v>0</v>
      </c>
      <c r="P71" s="71"/>
      <c r="Q71" s="71">
        <f>S71+T71</f>
        <v>1</v>
      </c>
      <c r="R71" s="71"/>
      <c r="S71" s="71">
        <f>'522 52 00'!Q19</f>
        <v>1</v>
      </c>
      <c r="T71" s="71">
        <f>'522 52 00'!R18</f>
        <v>0</v>
      </c>
      <c r="U71" s="71"/>
      <c r="V71" s="71">
        <v>0</v>
      </c>
      <c r="W71" s="71">
        <v>0</v>
      </c>
    </row>
    <row r="72" spans="1:23" ht="25.5">
      <c r="A72" s="146" t="s">
        <v>140</v>
      </c>
      <c r="B72" s="27" t="s">
        <v>327</v>
      </c>
      <c r="C72" s="49" t="s">
        <v>325</v>
      </c>
      <c r="D72" s="51" t="s">
        <v>368</v>
      </c>
      <c r="E72" s="51" t="s">
        <v>350</v>
      </c>
      <c r="F72" s="51" t="s">
        <v>138</v>
      </c>
      <c r="G72" s="27">
        <f>I72+J72</f>
        <v>200000</v>
      </c>
      <c r="H72" s="27"/>
      <c r="I72" s="27">
        <f>'522 52 00'!I21</f>
        <v>200000</v>
      </c>
      <c r="J72" s="27"/>
      <c r="K72" s="27"/>
      <c r="L72" s="27">
        <f>N72+O72</f>
        <v>156715.4</v>
      </c>
      <c r="M72" s="27"/>
      <c r="N72" s="27">
        <f>'522 52 00'!M21</f>
        <v>156715.4</v>
      </c>
      <c r="O72" s="27"/>
      <c r="P72" s="27"/>
      <c r="Q72" s="27">
        <f>S72+T72</f>
        <v>156715.4</v>
      </c>
      <c r="R72" s="27"/>
      <c r="S72" s="27">
        <f>'522 52 00'!Q21</f>
        <v>156715.4</v>
      </c>
      <c r="T72" s="27"/>
      <c r="U72" s="27"/>
      <c r="V72" s="27">
        <f>N72/I72*100</f>
        <v>78.3577</v>
      </c>
      <c r="W72" s="27">
        <f>S72/N72*100</f>
        <v>100</v>
      </c>
    </row>
    <row r="73" spans="1:23" ht="12.75">
      <c r="A73" s="62" t="s">
        <v>352</v>
      </c>
      <c r="B73" s="27" t="s">
        <v>327</v>
      </c>
      <c r="C73" s="49" t="s">
        <v>325</v>
      </c>
      <c r="D73" s="51" t="s">
        <v>350</v>
      </c>
      <c r="E73" s="51"/>
      <c r="F73" s="51"/>
      <c r="G73" s="27">
        <f aca="true" t="shared" si="29" ref="G73:O73">G74+G77</f>
        <v>57752.4</v>
      </c>
      <c r="H73" s="27"/>
      <c r="I73" s="27">
        <f t="shared" si="29"/>
        <v>57752.4</v>
      </c>
      <c r="J73" s="27">
        <f t="shared" si="29"/>
        <v>0</v>
      </c>
      <c r="K73" s="27"/>
      <c r="L73" s="27">
        <f t="shared" si="29"/>
        <v>50143.6</v>
      </c>
      <c r="M73" s="27"/>
      <c r="N73" s="27">
        <f t="shared" si="29"/>
        <v>50143.6</v>
      </c>
      <c r="O73" s="27">
        <f t="shared" si="29"/>
        <v>0</v>
      </c>
      <c r="P73" s="27"/>
      <c r="Q73" s="27">
        <f>Q74+Q77</f>
        <v>50143.6</v>
      </c>
      <c r="R73" s="27"/>
      <c r="S73" s="27">
        <f>S74+S77</f>
        <v>50143.6</v>
      </c>
      <c r="T73" s="27">
        <f>T74+T77</f>
        <v>0</v>
      </c>
      <c r="U73" s="27"/>
      <c r="V73" s="27">
        <f>N73/I73*100</f>
        <v>86.82513627139305</v>
      </c>
      <c r="W73" s="27">
        <f>S73/N73*100</f>
        <v>100</v>
      </c>
    </row>
    <row r="74" spans="1:23" ht="12.75">
      <c r="A74" s="62" t="s">
        <v>351</v>
      </c>
      <c r="B74" s="27" t="s">
        <v>327</v>
      </c>
      <c r="C74" s="49" t="s">
        <v>325</v>
      </c>
      <c r="D74" s="51" t="s">
        <v>350</v>
      </c>
      <c r="E74" s="51" t="s">
        <v>347</v>
      </c>
      <c r="F74" s="51"/>
      <c r="G74" s="27">
        <f aca="true" t="shared" si="30" ref="G74:O75">G75</f>
        <v>51510.4</v>
      </c>
      <c r="H74" s="27"/>
      <c r="I74" s="27">
        <f t="shared" si="30"/>
        <v>51510.4</v>
      </c>
      <c r="J74" s="27">
        <f t="shared" si="30"/>
        <v>0</v>
      </c>
      <c r="K74" s="27"/>
      <c r="L74" s="27">
        <f t="shared" si="30"/>
        <v>47289.6</v>
      </c>
      <c r="M74" s="27"/>
      <c r="N74" s="27">
        <f t="shared" si="30"/>
        <v>47289.6</v>
      </c>
      <c r="O74" s="27">
        <f t="shared" si="30"/>
        <v>0</v>
      </c>
      <c r="P74" s="27"/>
      <c r="Q74" s="27">
        <f aca="true" t="shared" si="31" ref="Q74:T75">Q75</f>
        <v>47289.6</v>
      </c>
      <c r="R74" s="27"/>
      <c r="S74" s="27">
        <f t="shared" si="31"/>
        <v>47289.6</v>
      </c>
      <c r="T74" s="27">
        <f t="shared" si="31"/>
        <v>0</v>
      </c>
      <c r="U74" s="27"/>
      <c r="V74" s="27"/>
      <c r="W74" s="27"/>
    </row>
    <row r="75" spans="1:23" ht="12.75">
      <c r="A75" s="220" t="s">
        <v>354</v>
      </c>
      <c r="B75" s="27" t="s">
        <v>327</v>
      </c>
      <c r="C75" s="49" t="s">
        <v>325</v>
      </c>
      <c r="D75" s="51" t="s">
        <v>350</v>
      </c>
      <c r="E75" s="51" t="s">
        <v>347</v>
      </c>
      <c r="F75" s="51" t="s">
        <v>355</v>
      </c>
      <c r="G75" s="27">
        <f t="shared" si="30"/>
        <v>51510.4</v>
      </c>
      <c r="H75" s="27"/>
      <c r="I75" s="27">
        <f t="shared" si="30"/>
        <v>51510.4</v>
      </c>
      <c r="J75" s="27">
        <f t="shared" si="30"/>
        <v>0</v>
      </c>
      <c r="K75" s="27"/>
      <c r="L75" s="27">
        <f t="shared" si="30"/>
        <v>47289.6</v>
      </c>
      <c r="M75" s="27"/>
      <c r="N75" s="27">
        <f t="shared" si="30"/>
        <v>47289.6</v>
      </c>
      <c r="O75" s="27">
        <f t="shared" si="30"/>
        <v>0</v>
      </c>
      <c r="P75" s="27"/>
      <c r="Q75" s="27">
        <f t="shared" si="31"/>
        <v>47289.6</v>
      </c>
      <c r="R75" s="27"/>
      <c r="S75" s="27">
        <f t="shared" si="31"/>
        <v>47289.6</v>
      </c>
      <c r="T75" s="27">
        <f t="shared" si="31"/>
        <v>0</v>
      </c>
      <c r="U75" s="27"/>
      <c r="V75" s="27">
        <f>N75/I75*100</f>
        <v>91.80592657016835</v>
      </c>
      <c r="W75" s="27">
        <f>S75/N75*100</f>
        <v>100</v>
      </c>
    </row>
    <row r="76" spans="1:23" ht="25.5">
      <c r="A76" s="29" t="s">
        <v>61</v>
      </c>
      <c r="B76" s="27" t="s">
        <v>327</v>
      </c>
      <c r="C76" s="49" t="s">
        <v>325</v>
      </c>
      <c r="D76" s="51" t="s">
        <v>350</v>
      </c>
      <c r="E76" s="51" t="s">
        <v>347</v>
      </c>
      <c r="F76" s="51" t="s">
        <v>355</v>
      </c>
      <c r="G76" s="27">
        <f>'522 52 00'!G25</f>
        <v>51510.4</v>
      </c>
      <c r="H76" s="27"/>
      <c r="I76" s="27">
        <f>'522 52 00'!I25</f>
        <v>51510.4</v>
      </c>
      <c r="J76" s="27">
        <f>'522 52 00'!J25</f>
        <v>0</v>
      </c>
      <c r="K76" s="27"/>
      <c r="L76" s="27">
        <f>M76+N76+O76+P76</f>
        <v>47289.6</v>
      </c>
      <c r="M76" s="27"/>
      <c r="N76" s="27">
        <f>'522 52 00'!M25</f>
        <v>47289.6</v>
      </c>
      <c r="O76" s="27">
        <f>'522 52 00'!N25</f>
        <v>0</v>
      </c>
      <c r="P76" s="27"/>
      <c r="Q76" s="27">
        <f>'522 52 00'!O25</f>
        <v>47289.6</v>
      </c>
      <c r="R76" s="27"/>
      <c r="S76" s="27">
        <f>'522 52 00'!Q25</f>
        <v>47289.6</v>
      </c>
      <c r="T76" s="27">
        <f>'522 52 00'!R25</f>
        <v>0</v>
      </c>
      <c r="U76" s="27"/>
      <c r="V76" s="27">
        <f>N76/I76*100</f>
        <v>91.80592657016835</v>
      </c>
      <c r="W76" s="27">
        <f>S76/N76*100</f>
        <v>100</v>
      </c>
    </row>
    <row r="77" spans="1:23" ht="12.75">
      <c r="A77" s="62" t="s">
        <v>9</v>
      </c>
      <c r="B77" s="27" t="s">
        <v>327</v>
      </c>
      <c r="C77" s="49" t="s">
        <v>325</v>
      </c>
      <c r="D77" s="51" t="s">
        <v>350</v>
      </c>
      <c r="E77" s="51" t="s">
        <v>353</v>
      </c>
      <c r="F77" s="51"/>
      <c r="G77" s="27">
        <f aca="true" t="shared" si="32" ref="G77:O78">G78</f>
        <v>6242</v>
      </c>
      <c r="H77" s="27"/>
      <c r="I77" s="27">
        <f t="shared" si="32"/>
        <v>6242</v>
      </c>
      <c r="J77" s="27">
        <f t="shared" si="32"/>
        <v>0</v>
      </c>
      <c r="K77" s="27"/>
      <c r="L77" s="27">
        <f t="shared" si="32"/>
        <v>2854</v>
      </c>
      <c r="M77" s="27"/>
      <c r="N77" s="27">
        <f t="shared" si="32"/>
        <v>2854</v>
      </c>
      <c r="O77" s="27">
        <f t="shared" si="32"/>
        <v>0</v>
      </c>
      <c r="P77" s="27"/>
      <c r="Q77" s="27">
        <f aca="true" t="shared" si="33" ref="Q77:T78">Q78</f>
        <v>2854</v>
      </c>
      <c r="R77" s="27"/>
      <c r="S77" s="27">
        <f t="shared" si="33"/>
        <v>2854</v>
      </c>
      <c r="T77" s="27">
        <f t="shared" si="33"/>
        <v>0</v>
      </c>
      <c r="U77" s="27"/>
      <c r="V77" s="27"/>
      <c r="W77" s="27"/>
    </row>
    <row r="78" spans="1:23" ht="12.75">
      <c r="A78" s="220" t="s">
        <v>354</v>
      </c>
      <c r="B78" s="27" t="s">
        <v>327</v>
      </c>
      <c r="C78" s="49" t="s">
        <v>325</v>
      </c>
      <c r="D78" s="51" t="s">
        <v>350</v>
      </c>
      <c r="E78" s="51" t="s">
        <v>353</v>
      </c>
      <c r="F78" s="51" t="s">
        <v>355</v>
      </c>
      <c r="G78" s="27">
        <f t="shared" si="32"/>
        <v>6242</v>
      </c>
      <c r="H78" s="27"/>
      <c r="I78" s="27">
        <f t="shared" si="32"/>
        <v>6242</v>
      </c>
      <c r="J78" s="27">
        <f t="shared" si="32"/>
        <v>0</v>
      </c>
      <c r="K78" s="27"/>
      <c r="L78" s="27">
        <f t="shared" si="32"/>
        <v>2854</v>
      </c>
      <c r="M78" s="27"/>
      <c r="N78" s="27">
        <f t="shared" si="32"/>
        <v>2854</v>
      </c>
      <c r="O78" s="27">
        <f t="shared" si="32"/>
        <v>0</v>
      </c>
      <c r="P78" s="27"/>
      <c r="Q78" s="27">
        <f t="shared" si="33"/>
        <v>2854</v>
      </c>
      <c r="R78" s="27"/>
      <c r="S78" s="27">
        <f t="shared" si="33"/>
        <v>2854</v>
      </c>
      <c r="T78" s="27">
        <f t="shared" si="33"/>
        <v>0</v>
      </c>
      <c r="U78" s="27"/>
      <c r="V78" s="27">
        <f>N78/I78*100</f>
        <v>45.72252483178468</v>
      </c>
      <c r="W78" s="27">
        <f>S78/N78*100</f>
        <v>100</v>
      </c>
    </row>
    <row r="79" spans="1:23" ht="25.5">
      <c r="A79" s="29" t="s">
        <v>61</v>
      </c>
      <c r="B79" s="27" t="s">
        <v>327</v>
      </c>
      <c r="C79" s="49" t="s">
        <v>325</v>
      </c>
      <c r="D79" s="51" t="s">
        <v>350</v>
      </c>
      <c r="E79" s="51" t="s">
        <v>353</v>
      </c>
      <c r="F79" s="51" t="s">
        <v>355</v>
      </c>
      <c r="G79" s="27">
        <f>'522 52 00'!G29</f>
        <v>6242</v>
      </c>
      <c r="H79" s="27"/>
      <c r="I79" s="27">
        <f>'522 52 00'!I29</f>
        <v>6242</v>
      </c>
      <c r="J79" s="27">
        <f>'522 52 00'!J29</f>
        <v>0</v>
      </c>
      <c r="K79" s="27"/>
      <c r="L79" s="27">
        <f>M79+N79+O79+P79</f>
        <v>2854</v>
      </c>
      <c r="M79" s="27"/>
      <c r="N79" s="27">
        <f>'522 52 00'!M29</f>
        <v>2854</v>
      </c>
      <c r="O79" s="27">
        <f>'522 52 00'!N29</f>
        <v>0</v>
      </c>
      <c r="P79" s="27"/>
      <c r="Q79" s="27">
        <f>'522 52 00'!O29</f>
        <v>2854</v>
      </c>
      <c r="R79" s="27"/>
      <c r="S79" s="27">
        <f>'522 52 00'!Q29</f>
        <v>2854</v>
      </c>
      <c r="T79" s="27">
        <f>'522 52 00'!R29</f>
        <v>0</v>
      </c>
      <c r="U79" s="27"/>
      <c r="V79" s="27">
        <f>N79/I79*100</f>
        <v>45.72252483178468</v>
      </c>
      <c r="W79" s="27">
        <f>S79/N79*100</f>
        <v>100</v>
      </c>
    </row>
    <row r="80" spans="1:23" ht="12.75">
      <c r="A80" s="29" t="s">
        <v>328</v>
      </c>
      <c r="B80" s="27" t="s">
        <v>327</v>
      </c>
      <c r="C80" s="49" t="s">
        <v>325</v>
      </c>
      <c r="D80" s="51" t="s">
        <v>329</v>
      </c>
      <c r="E80" s="51"/>
      <c r="F80" s="51"/>
      <c r="G80" s="27">
        <f aca="true" t="shared" si="34" ref="G80:O81">G81</f>
        <v>23096.7</v>
      </c>
      <c r="H80" s="27">
        <f t="shared" si="34"/>
        <v>10003.1</v>
      </c>
      <c r="I80" s="27">
        <f t="shared" si="34"/>
        <v>13093.6</v>
      </c>
      <c r="J80" s="27">
        <f t="shared" si="34"/>
        <v>0</v>
      </c>
      <c r="K80" s="27"/>
      <c r="L80" s="27">
        <f t="shared" si="34"/>
        <v>6708</v>
      </c>
      <c r="M80" s="27">
        <f t="shared" si="34"/>
        <v>4427.3</v>
      </c>
      <c r="N80" s="27">
        <f t="shared" si="34"/>
        <v>2280.7</v>
      </c>
      <c r="O80" s="27">
        <f t="shared" si="34"/>
        <v>0</v>
      </c>
      <c r="P80" s="27"/>
      <c r="Q80" s="27">
        <f aca="true" t="shared" si="35" ref="Q80:T81">Q81</f>
        <v>6708</v>
      </c>
      <c r="R80" s="27">
        <f t="shared" si="35"/>
        <v>4427.3</v>
      </c>
      <c r="S80" s="27">
        <f t="shared" si="35"/>
        <v>2280.7</v>
      </c>
      <c r="T80" s="27">
        <f t="shared" si="35"/>
        <v>0</v>
      </c>
      <c r="U80" s="27"/>
      <c r="V80" s="27">
        <f>N80/I80*100</f>
        <v>17.418433433127632</v>
      </c>
      <c r="W80" s="27">
        <f>S80/N80*100</f>
        <v>100</v>
      </c>
    </row>
    <row r="81" spans="1:23" ht="12.75">
      <c r="A81" s="29" t="s">
        <v>12</v>
      </c>
      <c r="B81" s="27" t="s">
        <v>327</v>
      </c>
      <c r="C81" s="49" t="s">
        <v>325</v>
      </c>
      <c r="D81" s="51" t="s">
        <v>329</v>
      </c>
      <c r="E81" s="51" t="s">
        <v>331</v>
      </c>
      <c r="F81" s="51"/>
      <c r="G81" s="27">
        <f t="shared" si="34"/>
        <v>23096.7</v>
      </c>
      <c r="H81" s="27">
        <f t="shared" si="34"/>
        <v>10003.1</v>
      </c>
      <c r="I81" s="27">
        <f t="shared" si="34"/>
        <v>13093.6</v>
      </c>
      <c r="J81" s="27">
        <f t="shared" si="34"/>
        <v>0</v>
      </c>
      <c r="K81" s="27"/>
      <c r="L81" s="27">
        <f t="shared" si="34"/>
        <v>6708</v>
      </c>
      <c r="M81" s="27">
        <f t="shared" si="34"/>
        <v>4427.3</v>
      </c>
      <c r="N81" s="27">
        <f t="shared" si="34"/>
        <v>2280.7</v>
      </c>
      <c r="O81" s="27">
        <f t="shared" si="34"/>
        <v>0</v>
      </c>
      <c r="P81" s="27"/>
      <c r="Q81" s="27">
        <f t="shared" si="35"/>
        <v>6708</v>
      </c>
      <c r="R81" s="27">
        <f t="shared" si="35"/>
        <v>4427.3</v>
      </c>
      <c r="S81" s="27">
        <f t="shared" si="35"/>
        <v>2280.7</v>
      </c>
      <c r="T81" s="27">
        <f t="shared" si="35"/>
        <v>0</v>
      </c>
      <c r="U81" s="27"/>
      <c r="V81" s="27"/>
      <c r="W81" s="27"/>
    </row>
    <row r="82" spans="1:23" ht="12.75">
      <c r="A82" s="29" t="s">
        <v>332</v>
      </c>
      <c r="B82" s="27" t="s">
        <v>327</v>
      </c>
      <c r="C82" s="49" t="s">
        <v>325</v>
      </c>
      <c r="D82" s="51" t="s">
        <v>329</v>
      </c>
      <c r="E82" s="51" t="s">
        <v>331</v>
      </c>
      <c r="F82" s="51" t="s">
        <v>333</v>
      </c>
      <c r="G82" s="27">
        <f>H82+I82</f>
        <v>23096.7</v>
      </c>
      <c r="H82" s="27">
        <f>'522 52 00'!H36</f>
        <v>10003.1</v>
      </c>
      <c r="I82" s="27">
        <f>'522 52 00'!I36</f>
        <v>13093.6</v>
      </c>
      <c r="J82" s="27">
        <f>'522 52 00'!J36</f>
        <v>0</v>
      </c>
      <c r="K82" s="27"/>
      <c r="L82" s="27">
        <f>M82+N82</f>
        <v>6708</v>
      </c>
      <c r="M82" s="27">
        <f>'522 52 00'!L36</f>
        <v>4427.3</v>
      </c>
      <c r="N82" s="27">
        <f>'522 52 00'!M36</f>
        <v>2280.7</v>
      </c>
      <c r="O82" s="27">
        <f>'522 52 00'!N36</f>
        <v>0</v>
      </c>
      <c r="P82" s="27"/>
      <c r="Q82" s="27">
        <f>R82+S82</f>
        <v>6708</v>
      </c>
      <c r="R82" s="27">
        <f>'522 52 00'!P36</f>
        <v>4427.3</v>
      </c>
      <c r="S82" s="27">
        <f>'522 52 00'!Q36</f>
        <v>2280.7</v>
      </c>
      <c r="T82" s="27">
        <f>'522 52 00'!R36</f>
        <v>0</v>
      </c>
      <c r="U82" s="27"/>
      <c r="V82" s="27">
        <f>N82/I82*100</f>
        <v>17.418433433127632</v>
      </c>
      <c r="W82" s="27">
        <f>S82/N82*100</f>
        <v>100</v>
      </c>
    </row>
    <row r="83" spans="1:23" ht="38.25">
      <c r="A83" s="29" t="s">
        <v>337</v>
      </c>
      <c r="B83" s="34" t="s">
        <v>327</v>
      </c>
      <c r="C83" s="49" t="s">
        <v>325</v>
      </c>
      <c r="D83" s="55">
        <v>14</v>
      </c>
      <c r="E83" s="51"/>
      <c r="F83" s="51"/>
      <c r="G83" s="27">
        <f aca="true" t="shared" si="36" ref="G83:O85">G84</f>
        <v>343457.80000000005</v>
      </c>
      <c r="H83" s="27"/>
      <c r="I83" s="27">
        <f t="shared" si="36"/>
        <v>327955.7</v>
      </c>
      <c r="J83" s="27">
        <f t="shared" si="36"/>
        <v>3312.7</v>
      </c>
      <c r="K83" s="27"/>
      <c r="L83" s="27">
        <f t="shared" si="36"/>
        <v>167143.59999999998</v>
      </c>
      <c r="M83" s="27"/>
      <c r="N83" s="27">
        <f t="shared" si="36"/>
        <v>153404.3</v>
      </c>
      <c r="O83" s="27">
        <f t="shared" si="36"/>
        <v>1549.8999999999996</v>
      </c>
      <c r="P83" s="27"/>
      <c r="Q83" s="27">
        <f aca="true" t="shared" si="37" ref="Q83:T85">Q84</f>
        <v>249102.19999999998</v>
      </c>
      <c r="R83" s="27"/>
      <c r="S83" s="27">
        <f t="shared" si="37"/>
        <v>246220.59999999998</v>
      </c>
      <c r="T83" s="27">
        <f t="shared" si="37"/>
        <v>2517.9000000000005</v>
      </c>
      <c r="U83" s="27"/>
      <c r="V83" s="27">
        <f>N83/I83*100</f>
        <v>46.775921260097014</v>
      </c>
      <c r="W83" s="27">
        <f>S83/N83*100</f>
        <v>160.50436656599587</v>
      </c>
    </row>
    <row r="84" spans="1:23" ht="12.75">
      <c r="A84" s="29" t="s">
        <v>338</v>
      </c>
      <c r="B84" s="34" t="s">
        <v>327</v>
      </c>
      <c r="C84" s="49" t="s">
        <v>325</v>
      </c>
      <c r="D84" s="55">
        <v>14</v>
      </c>
      <c r="E84" s="51" t="s">
        <v>331</v>
      </c>
      <c r="F84" s="51"/>
      <c r="G84" s="27">
        <f t="shared" si="36"/>
        <v>343457.80000000005</v>
      </c>
      <c r="H84" s="27"/>
      <c r="I84" s="27">
        <f t="shared" si="36"/>
        <v>327955.7</v>
      </c>
      <c r="J84" s="27">
        <f t="shared" si="36"/>
        <v>3312.7</v>
      </c>
      <c r="K84" s="27"/>
      <c r="L84" s="27">
        <f t="shared" si="36"/>
        <v>167143.59999999998</v>
      </c>
      <c r="M84" s="27"/>
      <c r="N84" s="27">
        <f t="shared" si="36"/>
        <v>153404.3</v>
      </c>
      <c r="O84" s="27">
        <f t="shared" si="36"/>
        <v>1549.8999999999996</v>
      </c>
      <c r="P84" s="27"/>
      <c r="Q84" s="27">
        <f t="shared" si="37"/>
        <v>249102.19999999998</v>
      </c>
      <c r="R84" s="27"/>
      <c r="S84" s="27">
        <f t="shared" si="37"/>
        <v>246220.59999999998</v>
      </c>
      <c r="T84" s="27">
        <f t="shared" si="37"/>
        <v>2517.9000000000005</v>
      </c>
      <c r="U84" s="27"/>
      <c r="V84" s="27"/>
      <c r="W84" s="27"/>
    </row>
    <row r="85" spans="1:23" ht="12.75">
      <c r="A85" s="29" t="s">
        <v>334</v>
      </c>
      <c r="B85" s="34" t="s">
        <v>327</v>
      </c>
      <c r="C85" s="49" t="s">
        <v>325</v>
      </c>
      <c r="D85" s="55">
        <v>14</v>
      </c>
      <c r="E85" s="51" t="s">
        <v>331</v>
      </c>
      <c r="F85" s="51" t="s">
        <v>335</v>
      </c>
      <c r="G85" s="27">
        <f t="shared" si="36"/>
        <v>343457.80000000005</v>
      </c>
      <c r="H85" s="27"/>
      <c r="I85" s="27">
        <f t="shared" si="36"/>
        <v>327955.7</v>
      </c>
      <c r="J85" s="27">
        <f t="shared" si="36"/>
        <v>3312.7</v>
      </c>
      <c r="K85" s="27"/>
      <c r="L85" s="27">
        <f t="shared" si="36"/>
        <v>167143.59999999998</v>
      </c>
      <c r="M85" s="27"/>
      <c r="N85" s="27">
        <f t="shared" si="36"/>
        <v>153404.3</v>
      </c>
      <c r="O85" s="27">
        <f t="shared" si="36"/>
        <v>1549.8999999999996</v>
      </c>
      <c r="P85" s="27"/>
      <c r="Q85" s="27">
        <f t="shared" si="37"/>
        <v>249102.19999999998</v>
      </c>
      <c r="R85" s="27"/>
      <c r="S85" s="27">
        <f t="shared" si="37"/>
        <v>246220.59999999998</v>
      </c>
      <c r="T85" s="27">
        <f t="shared" si="37"/>
        <v>2517.9000000000005</v>
      </c>
      <c r="U85" s="27"/>
      <c r="V85" s="27"/>
      <c r="W85" s="27"/>
    </row>
    <row r="86" spans="1:23" s="70" customFormat="1" ht="12.75">
      <c r="A86" s="216" t="s">
        <v>336</v>
      </c>
      <c r="B86" s="221" t="s">
        <v>327</v>
      </c>
      <c r="C86" s="214" t="s">
        <v>325</v>
      </c>
      <c r="D86" s="222">
        <v>14</v>
      </c>
      <c r="E86" s="215" t="s">
        <v>331</v>
      </c>
      <c r="F86" s="215" t="s">
        <v>335</v>
      </c>
      <c r="G86" s="71">
        <f>SUM(H86+I86+J86)</f>
        <v>343457.80000000005</v>
      </c>
      <c r="H86" s="71">
        <f>'522 52 00'!H41</f>
        <v>12189.4</v>
      </c>
      <c r="I86" s="71">
        <f>SUM('522 52 00'!I41)</f>
        <v>327955.7</v>
      </c>
      <c r="J86" s="71">
        <f>SUM('522 52 00'!J41)</f>
        <v>3312.7</v>
      </c>
      <c r="K86" s="71"/>
      <c r="L86" s="71">
        <f>M86+N86+O86</f>
        <v>167143.59999999998</v>
      </c>
      <c r="M86" s="71">
        <f>'522 52 00'!L52</f>
        <v>12189.4</v>
      </c>
      <c r="N86" s="71">
        <f>SUM('522 52 00'!M41)</f>
        <v>153404.3</v>
      </c>
      <c r="O86" s="71">
        <f>SUM('522 52 00'!N41)</f>
        <v>1549.8999999999996</v>
      </c>
      <c r="P86" s="71"/>
      <c r="Q86" s="71">
        <f>R86+S86+T86</f>
        <v>249102.19999999998</v>
      </c>
      <c r="R86" s="71">
        <f>'522 52 00'!P52</f>
        <v>363.7</v>
      </c>
      <c r="S86" s="71">
        <f>SUM('522 52 00'!Q41)</f>
        <v>246220.59999999998</v>
      </c>
      <c r="T86" s="71">
        <f>SUM('522 52 00'!R41)</f>
        <v>2517.9000000000005</v>
      </c>
      <c r="U86" s="71"/>
      <c r="V86" s="27">
        <f>N86/I86*100</f>
        <v>46.775921260097014</v>
      </c>
      <c r="W86" s="27">
        <f>S86/N86*100</f>
        <v>160.50436656599587</v>
      </c>
    </row>
    <row r="87" spans="1:23" ht="27">
      <c r="A87" s="48" t="s">
        <v>348</v>
      </c>
      <c r="B87" s="34" t="s">
        <v>327</v>
      </c>
      <c r="C87" s="50" t="s">
        <v>349</v>
      </c>
      <c r="D87" s="27"/>
      <c r="E87" s="50"/>
      <c r="F87" s="50"/>
      <c r="G87" s="28">
        <f>I87</f>
        <v>15523.6</v>
      </c>
      <c r="H87" s="28"/>
      <c r="I87" s="28">
        <f>I88</f>
        <v>15523.6</v>
      </c>
      <c r="J87" s="28"/>
      <c r="K87" s="28"/>
      <c r="L87" s="28">
        <f>N87</f>
        <v>12049.8</v>
      </c>
      <c r="M87" s="28"/>
      <c r="N87" s="28">
        <f>N88</f>
        <v>12049.8</v>
      </c>
      <c r="O87" s="28"/>
      <c r="P87" s="28"/>
      <c r="Q87" s="28">
        <f>R87+S87+T87+U87</f>
        <v>12049.8</v>
      </c>
      <c r="R87" s="28"/>
      <c r="S87" s="28">
        <f>S88</f>
        <v>12049.8</v>
      </c>
      <c r="T87" s="28"/>
      <c r="U87" s="28"/>
      <c r="V87" s="28">
        <f>N87/I87*100</f>
        <v>77.62245870803164</v>
      </c>
      <c r="W87" s="28">
        <f>S87/N87*100</f>
        <v>100</v>
      </c>
    </row>
    <row r="88" spans="1:23" ht="12.75">
      <c r="A88" s="62" t="s">
        <v>352</v>
      </c>
      <c r="B88" s="34" t="s">
        <v>327</v>
      </c>
      <c r="C88" s="50" t="s">
        <v>349</v>
      </c>
      <c r="D88" s="50" t="s">
        <v>350</v>
      </c>
      <c r="E88" s="50"/>
      <c r="F88" s="50"/>
      <c r="G88" s="27">
        <f>I88</f>
        <v>15523.6</v>
      </c>
      <c r="H88" s="27"/>
      <c r="I88" s="27">
        <f>I89</f>
        <v>15523.6</v>
      </c>
      <c r="J88" s="27"/>
      <c r="K88" s="27"/>
      <c r="L88" s="27">
        <f>N88</f>
        <v>12049.8</v>
      </c>
      <c r="M88" s="27"/>
      <c r="N88" s="27">
        <f>N89</f>
        <v>12049.8</v>
      </c>
      <c r="O88" s="27"/>
      <c r="P88" s="27"/>
      <c r="Q88" s="27">
        <f>R88+S88+T88+U88</f>
        <v>12049.8</v>
      </c>
      <c r="R88" s="27"/>
      <c r="S88" s="27">
        <f>S89</f>
        <v>12049.8</v>
      </c>
      <c r="T88" s="27"/>
      <c r="U88" s="27"/>
      <c r="V88" s="27"/>
      <c r="W88" s="27"/>
    </row>
    <row r="89" spans="1:23" ht="12.75">
      <c r="A89" s="62" t="s">
        <v>351</v>
      </c>
      <c r="B89" s="34" t="s">
        <v>327</v>
      </c>
      <c r="C89" s="50" t="s">
        <v>349</v>
      </c>
      <c r="D89" s="50" t="s">
        <v>350</v>
      </c>
      <c r="E89" s="50" t="s">
        <v>347</v>
      </c>
      <c r="F89" s="50"/>
      <c r="G89" s="27">
        <f>H89+I89+J89+K89</f>
        <v>15523.6</v>
      </c>
      <c r="H89" s="27"/>
      <c r="I89" s="27">
        <f>I90</f>
        <v>15523.6</v>
      </c>
      <c r="J89" s="27"/>
      <c r="K89" s="27"/>
      <c r="L89" s="27">
        <f>M89+N89+O89+P89</f>
        <v>12049.8</v>
      </c>
      <c r="M89" s="27"/>
      <c r="N89" s="27">
        <f>N90</f>
        <v>12049.8</v>
      </c>
      <c r="O89" s="27"/>
      <c r="P89" s="27"/>
      <c r="Q89" s="27">
        <f>R89+S89+T89+U89</f>
        <v>12049.8</v>
      </c>
      <c r="R89" s="27"/>
      <c r="S89" s="27">
        <f>S90</f>
        <v>12049.8</v>
      </c>
      <c r="T89" s="27"/>
      <c r="U89" s="27"/>
      <c r="V89" s="27"/>
      <c r="W89" s="27"/>
    </row>
    <row r="90" spans="1:23" ht="25.5">
      <c r="A90" s="29" t="s">
        <v>60</v>
      </c>
      <c r="B90" s="34" t="s">
        <v>327</v>
      </c>
      <c r="C90" s="50" t="s">
        <v>349</v>
      </c>
      <c r="D90" s="50" t="s">
        <v>350</v>
      </c>
      <c r="E90" s="50" t="s">
        <v>347</v>
      </c>
      <c r="F90" s="50" t="s">
        <v>37</v>
      </c>
      <c r="G90" s="27">
        <f>I90</f>
        <v>15523.6</v>
      </c>
      <c r="H90" s="27"/>
      <c r="I90" s="27">
        <f>SUM('522 52 00'!I88)</f>
        <v>15523.6</v>
      </c>
      <c r="J90" s="27"/>
      <c r="K90" s="27"/>
      <c r="L90" s="27">
        <f>N90</f>
        <v>12049.8</v>
      </c>
      <c r="M90" s="27"/>
      <c r="N90" s="27">
        <f>'522 52 00'!M89</f>
        <v>12049.8</v>
      </c>
      <c r="O90" s="27"/>
      <c r="P90" s="27"/>
      <c r="Q90" s="27"/>
      <c r="R90" s="27"/>
      <c r="S90" s="27">
        <f>'522 52 00'!Q88</f>
        <v>12049.8</v>
      </c>
      <c r="T90" s="27"/>
      <c r="U90" s="27"/>
      <c r="V90" s="27">
        <f>N90/I90*100</f>
        <v>77.62245870803164</v>
      </c>
      <c r="W90" s="27">
        <f>S90/N90*100</f>
        <v>100</v>
      </c>
    </row>
    <row r="91" spans="1:23" ht="27.75" customHeight="1">
      <c r="A91" s="209" t="s">
        <v>343</v>
      </c>
      <c r="B91" s="84" t="s">
        <v>344</v>
      </c>
      <c r="C91" s="174"/>
      <c r="D91" s="82"/>
      <c r="E91" s="174"/>
      <c r="F91" s="174"/>
      <c r="G91" s="84">
        <f aca="true" t="shared" si="38" ref="G91:O91">SUM(G93)</f>
        <v>230482.5</v>
      </c>
      <c r="H91" s="218"/>
      <c r="I91" s="84">
        <f t="shared" si="38"/>
        <v>228176.30000000002</v>
      </c>
      <c r="J91" s="84">
        <f t="shared" si="38"/>
        <v>2306.2</v>
      </c>
      <c r="K91" s="84"/>
      <c r="L91" s="84">
        <f t="shared" si="38"/>
        <v>112487.50000000001</v>
      </c>
      <c r="M91" s="218"/>
      <c r="N91" s="84">
        <f t="shared" si="38"/>
        <v>111361.3</v>
      </c>
      <c r="O91" s="84">
        <f t="shared" si="38"/>
        <v>1126.2000000000003</v>
      </c>
      <c r="P91" s="84"/>
      <c r="Q91" s="84">
        <f>SUM(Q93)</f>
        <v>136564.4</v>
      </c>
      <c r="R91" s="84"/>
      <c r="S91" s="84">
        <f>SUM(S93)</f>
        <v>134346.4</v>
      </c>
      <c r="T91" s="84">
        <f>SUM(T93)</f>
        <v>2218</v>
      </c>
      <c r="U91" s="84"/>
      <c r="V91" s="84">
        <f>N91/I91*100</f>
        <v>48.80493723493632</v>
      </c>
      <c r="W91" s="84">
        <f>S91/N91*100</f>
        <v>120.64011465383395</v>
      </c>
    </row>
    <row r="92" spans="1:23" s="7" customFormat="1" ht="12.75">
      <c r="A92" s="254" t="s">
        <v>195</v>
      </c>
      <c r="B92" s="135"/>
      <c r="C92" s="152"/>
      <c r="D92" s="135"/>
      <c r="E92" s="152"/>
      <c r="F92" s="152"/>
      <c r="G92" s="135"/>
      <c r="H92" s="135"/>
      <c r="I92" s="156"/>
      <c r="J92" s="135"/>
      <c r="K92" s="135"/>
      <c r="L92" s="135"/>
      <c r="M92" s="135"/>
      <c r="N92" s="135"/>
      <c r="O92" s="135"/>
      <c r="P92" s="135"/>
      <c r="Q92" s="135">
        <f>S92+T92</f>
        <v>24076.899999999998</v>
      </c>
      <c r="R92" s="135"/>
      <c r="S92" s="135">
        <f>'522 55 00'!N10</f>
        <v>22985.1</v>
      </c>
      <c r="T92" s="135">
        <f>'522 55 00'!O10</f>
        <v>1091.8</v>
      </c>
      <c r="U92" s="135"/>
      <c r="V92" s="135"/>
      <c r="W92" s="135"/>
    </row>
    <row r="93" spans="1:23" ht="40.5">
      <c r="A93" s="48" t="s">
        <v>324</v>
      </c>
      <c r="B93" s="29" t="s">
        <v>344</v>
      </c>
      <c r="C93" s="49" t="s">
        <v>325</v>
      </c>
      <c r="D93" s="27"/>
      <c r="E93" s="50"/>
      <c r="F93" s="50"/>
      <c r="G93" s="28">
        <f>G94+G98+G105</f>
        <v>230482.5</v>
      </c>
      <c r="H93" s="28"/>
      <c r="I93" s="28">
        <f>I94+I98+I105</f>
        <v>228176.30000000002</v>
      </c>
      <c r="J93" s="28">
        <f>J94+J98+J105</f>
        <v>2306.2</v>
      </c>
      <c r="K93" s="28"/>
      <c r="L93" s="28">
        <f>L94+L98+L105</f>
        <v>112487.50000000001</v>
      </c>
      <c r="M93" s="28"/>
      <c r="N93" s="28">
        <f>N94+N98+N105</f>
        <v>111361.3</v>
      </c>
      <c r="O93" s="28">
        <f>O94+O98+O105</f>
        <v>1126.2000000000003</v>
      </c>
      <c r="P93" s="28"/>
      <c r="Q93" s="28">
        <f>Q94+Q98+Q105</f>
        <v>136564.4</v>
      </c>
      <c r="R93" s="28"/>
      <c r="S93" s="28">
        <f>S94+S98+S105</f>
        <v>134346.4</v>
      </c>
      <c r="T93" s="28">
        <f>T94+T98+T105</f>
        <v>2218</v>
      </c>
      <c r="U93" s="28"/>
      <c r="V93" s="71">
        <f>N93/I93*100</f>
        <v>48.80493723493632</v>
      </c>
      <c r="W93" s="71">
        <f>S93/N93*100</f>
        <v>120.64011465383395</v>
      </c>
    </row>
    <row r="94" spans="1:23" ht="12.75">
      <c r="A94" s="29" t="s">
        <v>5</v>
      </c>
      <c r="B94" s="34" t="s">
        <v>344</v>
      </c>
      <c r="C94" s="49" t="s">
        <v>325</v>
      </c>
      <c r="D94" s="51" t="s">
        <v>368</v>
      </c>
      <c r="E94" s="137"/>
      <c r="F94" s="137"/>
      <c r="G94" s="27">
        <f>G95</f>
        <v>118252</v>
      </c>
      <c r="H94" s="27"/>
      <c r="I94" s="27">
        <f aca="true" t="shared" si="39" ref="I94:J96">I95</f>
        <v>117068.1</v>
      </c>
      <c r="J94" s="27">
        <f t="shared" si="39"/>
        <v>1183.9</v>
      </c>
      <c r="K94" s="27"/>
      <c r="L94" s="27">
        <f>L95</f>
        <v>80184.70000000001</v>
      </c>
      <c r="M94" s="27"/>
      <c r="N94" s="27">
        <f aca="true" t="shared" si="40" ref="N94:Q96">N95</f>
        <v>79381.6</v>
      </c>
      <c r="O94" s="27">
        <f t="shared" si="40"/>
        <v>803.1000000000001</v>
      </c>
      <c r="P94" s="27"/>
      <c r="Q94" s="27">
        <f t="shared" si="40"/>
        <v>80287.8</v>
      </c>
      <c r="R94" s="27"/>
      <c r="S94" s="27">
        <f aca="true" t="shared" si="41" ref="S94:T96">S95</f>
        <v>79481.6</v>
      </c>
      <c r="T94" s="27">
        <f t="shared" si="41"/>
        <v>806.2</v>
      </c>
      <c r="U94" s="27"/>
      <c r="V94" s="71">
        <f>N94/I94*100</f>
        <v>67.80805360298835</v>
      </c>
      <c r="W94" s="71">
        <f>S94/N94*100</f>
        <v>100.12597377729853</v>
      </c>
    </row>
    <row r="95" spans="1:23" ht="12.75">
      <c r="A95" s="29" t="s">
        <v>59</v>
      </c>
      <c r="B95" s="34" t="s">
        <v>344</v>
      </c>
      <c r="C95" s="49" t="s">
        <v>325</v>
      </c>
      <c r="D95" s="51" t="s">
        <v>368</v>
      </c>
      <c r="E95" s="51" t="s">
        <v>350</v>
      </c>
      <c r="F95" s="137"/>
      <c r="G95" s="27">
        <f>G96</f>
        <v>118252</v>
      </c>
      <c r="H95" s="27"/>
      <c r="I95" s="27">
        <f t="shared" si="39"/>
        <v>117068.1</v>
      </c>
      <c r="J95" s="27">
        <f t="shared" si="39"/>
        <v>1183.9</v>
      </c>
      <c r="K95" s="27"/>
      <c r="L95" s="27">
        <f>L96</f>
        <v>80184.70000000001</v>
      </c>
      <c r="M95" s="27"/>
      <c r="N95" s="27">
        <f t="shared" si="40"/>
        <v>79381.6</v>
      </c>
      <c r="O95" s="27">
        <f t="shared" si="40"/>
        <v>803.1000000000001</v>
      </c>
      <c r="P95" s="27"/>
      <c r="Q95" s="27">
        <f t="shared" si="40"/>
        <v>80287.8</v>
      </c>
      <c r="R95" s="27"/>
      <c r="S95" s="27">
        <f t="shared" si="41"/>
        <v>79481.6</v>
      </c>
      <c r="T95" s="27">
        <f t="shared" si="41"/>
        <v>806.2</v>
      </c>
      <c r="U95" s="27"/>
      <c r="V95" s="71">
        <f>N95/I95*100</f>
        <v>67.80805360298835</v>
      </c>
      <c r="W95" s="71">
        <f>S95/N95*100</f>
        <v>100.12597377729853</v>
      </c>
    </row>
    <row r="96" spans="1:23" ht="12.75">
      <c r="A96" s="29" t="s">
        <v>334</v>
      </c>
      <c r="B96" s="34" t="s">
        <v>344</v>
      </c>
      <c r="C96" s="49" t="s">
        <v>325</v>
      </c>
      <c r="D96" s="51" t="s">
        <v>368</v>
      </c>
      <c r="E96" s="51" t="s">
        <v>350</v>
      </c>
      <c r="F96" s="51" t="s">
        <v>335</v>
      </c>
      <c r="G96" s="27">
        <f>G97</f>
        <v>118252</v>
      </c>
      <c r="H96" s="27"/>
      <c r="I96" s="27">
        <f t="shared" si="39"/>
        <v>117068.1</v>
      </c>
      <c r="J96" s="27">
        <f t="shared" si="39"/>
        <v>1183.9</v>
      </c>
      <c r="K96" s="27"/>
      <c r="L96" s="27">
        <f>L97</f>
        <v>80184.70000000001</v>
      </c>
      <c r="M96" s="27"/>
      <c r="N96" s="27">
        <f t="shared" si="40"/>
        <v>79381.6</v>
      </c>
      <c r="O96" s="27">
        <f t="shared" si="40"/>
        <v>803.1000000000001</v>
      </c>
      <c r="P96" s="27"/>
      <c r="Q96" s="27">
        <f t="shared" si="40"/>
        <v>80287.8</v>
      </c>
      <c r="R96" s="27"/>
      <c r="S96" s="27">
        <f t="shared" si="41"/>
        <v>79481.6</v>
      </c>
      <c r="T96" s="27">
        <f t="shared" si="41"/>
        <v>806.2</v>
      </c>
      <c r="U96" s="27"/>
      <c r="V96" s="71">
        <f>N96/I96*100</f>
        <v>67.80805360298835</v>
      </c>
      <c r="W96" s="71">
        <f>S96/N96*100</f>
        <v>100.12597377729853</v>
      </c>
    </row>
    <row r="97" spans="1:23" s="70" customFormat="1" ht="12.75">
      <c r="A97" s="216" t="s">
        <v>342</v>
      </c>
      <c r="B97" s="221" t="s">
        <v>344</v>
      </c>
      <c r="C97" s="214" t="s">
        <v>325</v>
      </c>
      <c r="D97" s="215" t="s">
        <v>368</v>
      </c>
      <c r="E97" s="215" t="s">
        <v>350</v>
      </c>
      <c r="F97" s="215" t="s">
        <v>335</v>
      </c>
      <c r="G97" s="71">
        <f>H97+I97+J97</f>
        <v>118252</v>
      </c>
      <c r="H97" s="71"/>
      <c r="I97" s="71">
        <f>'522 55 00'!H15</f>
        <v>117068.1</v>
      </c>
      <c r="J97" s="71">
        <f>'522 55 00'!I15</f>
        <v>1183.9</v>
      </c>
      <c r="K97" s="71"/>
      <c r="L97" s="71">
        <f>M97+N97+O97</f>
        <v>80184.70000000001</v>
      </c>
      <c r="M97" s="71"/>
      <c r="N97" s="71">
        <f>'522 55 00'!K15</f>
        <v>79381.6</v>
      </c>
      <c r="O97" s="71">
        <f>'522 55 00'!L15</f>
        <v>803.1000000000001</v>
      </c>
      <c r="P97" s="71"/>
      <c r="Q97" s="71">
        <f>R97+S97+T97</f>
        <v>80287.8</v>
      </c>
      <c r="R97" s="71"/>
      <c r="S97" s="71">
        <f>'522 55 00'!N15</f>
        <v>79481.6</v>
      </c>
      <c r="T97" s="71">
        <f>'522 55 00'!O15</f>
        <v>806.2</v>
      </c>
      <c r="U97" s="71"/>
      <c r="V97" s="71"/>
      <c r="W97" s="71"/>
    </row>
    <row r="98" spans="1:23" ht="12.75">
      <c r="A98" s="190" t="s">
        <v>161</v>
      </c>
      <c r="B98" s="34" t="s">
        <v>344</v>
      </c>
      <c r="C98" s="49" t="s">
        <v>325</v>
      </c>
      <c r="D98" s="51" t="s">
        <v>162</v>
      </c>
      <c r="E98" s="51"/>
      <c r="F98" s="191"/>
      <c r="G98" s="27">
        <f>I98+J98</f>
        <v>6432.4</v>
      </c>
      <c r="H98" s="27"/>
      <c r="I98" s="27">
        <f>I99+I102</f>
        <v>6368</v>
      </c>
      <c r="J98" s="27">
        <f>J99+J102</f>
        <v>64.4</v>
      </c>
      <c r="K98" s="27"/>
      <c r="L98" s="27">
        <f>N98+O98</f>
        <v>582.6999999999999</v>
      </c>
      <c r="M98" s="27"/>
      <c r="N98" s="27">
        <f>N99+N102</f>
        <v>576.9</v>
      </c>
      <c r="O98" s="27">
        <f>O99+O102</f>
        <v>5.8</v>
      </c>
      <c r="P98" s="27"/>
      <c r="Q98" s="27">
        <f>S98+T98</f>
        <v>582.6999999999999</v>
      </c>
      <c r="R98" s="27"/>
      <c r="S98" s="27">
        <f>S99+S102</f>
        <v>576.9</v>
      </c>
      <c r="T98" s="27">
        <f>T99+T102</f>
        <v>5.8</v>
      </c>
      <c r="U98" s="27"/>
      <c r="V98" s="71">
        <f>N98/I98*100</f>
        <v>9.059359296482413</v>
      </c>
      <c r="W98" s="71">
        <f>S98/N98*100</f>
        <v>100</v>
      </c>
    </row>
    <row r="99" spans="1:23" ht="12.75">
      <c r="A99" s="190" t="s">
        <v>163</v>
      </c>
      <c r="B99" s="34" t="s">
        <v>344</v>
      </c>
      <c r="C99" s="49" t="s">
        <v>325</v>
      </c>
      <c r="D99" s="51" t="s">
        <v>162</v>
      </c>
      <c r="E99" s="51" t="s">
        <v>347</v>
      </c>
      <c r="F99" s="191"/>
      <c r="G99" s="27">
        <f>G100</f>
        <v>2456.7</v>
      </c>
      <c r="H99" s="27"/>
      <c r="I99" s="27">
        <f>I100</f>
        <v>2432.1</v>
      </c>
      <c r="J99" s="27">
        <f>J100</f>
        <v>24.6</v>
      </c>
      <c r="K99" s="27"/>
      <c r="L99" s="27">
        <f>L100</f>
        <v>582.6999999999999</v>
      </c>
      <c r="M99" s="27"/>
      <c r="N99" s="27">
        <f>N100</f>
        <v>576.9</v>
      </c>
      <c r="O99" s="27">
        <f>O100</f>
        <v>5.8</v>
      </c>
      <c r="P99" s="27"/>
      <c r="Q99" s="27">
        <f>Q100</f>
        <v>582.6999999999999</v>
      </c>
      <c r="R99" s="27"/>
      <c r="S99" s="27">
        <f>S100</f>
        <v>576.9</v>
      </c>
      <c r="T99" s="27">
        <f>T100</f>
        <v>5.8</v>
      </c>
      <c r="U99" s="27"/>
      <c r="V99" s="71">
        <f>N99/I99*100</f>
        <v>23.720241766374738</v>
      </c>
      <c r="W99" s="71">
        <f>S99/N99*100</f>
        <v>100</v>
      </c>
    </row>
    <row r="100" spans="1:23" ht="12.75">
      <c r="A100" s="29" t="s">
        <v>334</v>
      </c>
      <c r="B100" s="34" t="s">
        <v>344</v>
      </c>
      <c r="C100" s="49" t="s">
        <v>325</v>
      </c>
      <c r="D100" s="51" t="s">
        <v>162</v>
      </c>
      <c r="E100" s="51" t="s">
        <v>347</v>
      </c>
      <c r="F100" s="51" t="s">
        <v>335</v>
      </c>
      <c r="G100" s="27">
        <f>G101</f>
        <v>2456.7</v>
      </c>
      <c r="H100" s="27"/>
      <c r="I100" s="27">
        <f aca="true" t="shared" si="42" ref="I100:T100">I101</f>
        <v>2432.1</v>
      </c>
      <c r="J100" s="27">
        <f t="shared" si="42"/>
        <v>24.6</v>
      </c>
      <c r="K100" s="27"/>
      <c r="L100" s="27">
        <f t="shared" si="42"/>
        <v>582.6999999999999</v>
      </c>
      <c r="M100" s="27"/>
      <c r="N100" s="27">
        <f t="shared" si="42"/>
        <v>576.9</v>
      </c>
      <c r="O100" s="27">
        <f t="shared" si="42"/>
        <v>5.8</v>
      </c>
      <c r="P100" s="27"/>
      <c r="Q100" s="27">
        <f t="shared" si="42"/>
        <v>582.6999999999999</v>
      </c>
      <c r="R100" s="27"/>
      <c r="S100" s="27">
        <f t="shared" si="42"/>
        <v>576.9</v>
      </c>
      <c r="T100" s="27">
        <f t="shared" si="42"/>
        <v>5.8</v>
      </c>
      <c r="U100" s="27"/>
      <c r="V100" s="71"/>
      <c r="W100" s="71"/>
    </row>
    <row r="101" spans="1:23" s="70" customFormat="1" ht="12.75">
      <c r="A101" s="216" t="s">
        <v>342</v>
      </c>
      <c r="B101" s="221" t="s">
        <v>344</v>
      </c>
      <c r="C101" s="214" t="s">
        <v>325</v>
      </c>
      <c r="D101" s="215" t="s">
        <v>162</v>
      </c>
      <c r="E101" s="215" t="s">
        <v>347</v>
      </c>
      <c r="F101" s="215" t="s">
        <v>335</v>
      </c>
      <c r="G101" s="71">
        <f>I101+J101</f>
        <v>2456.7</v>
      </c>
      <c r="H101" s="71"/>
      <c r="I101" s="71">
        <f>'522 55 00'!H31</f>
        <v>2432.1</v>
      </c>
      <c r="J101" s="71">
        <f>'522 55 00'!I31</f>
        <v>24.6</v>
      </c>
      <c r="K101" s="71"/>
      <c r="L101" s="71">
        <f>N101+O101</f>
        <v>582.6999999999999</v>
      </c>
      <c r="M101" s="71"/>
      <c r="N101" s="71">
        <f>'522 55 00'!K31</f>
        <v>576.9</v>
      </c>
      <c r="O101" s="71">
        <f>'522 55 00'!L31</f>
        <v>5.8</v>
      </c>
      <c r="P101" s="71"/>
      <c r="Q101" s="71">
        <f>S101+T101</f>
        <v>582.6999999999999</v>
      </c>
      <c r="R101" s="71"/>
      <c r="S101" s="71">
        <f>'522 55 00'!N31</f>
        <v>576.9</v>
      </c>
      <c r="T101" s="71">
        <f>'522 55 00'!O31</f>
        <v>5.8</v>
      </c>
      <c r="U101" s="71"/>
      <c r="V101" s="71"/>
      <c r="W101" s="71"/>
    </row>
    <row r="102" spans="1:23" ht="12.75">
      <c r="A102" s="190" t="s">
        <v>164</v>
      </c>
      <c r="B102" s="34" t="s">
        <v>344</v>
      </c>
      <c r="C102" s="49" t="s">
        <v>325</v>
      </c>
      <c r="D102" s="51" t="s">
        <v>162</v>
      </c>
      <c r="E102" s="51" t="s">
        <v>353</v>
      </c>
      <c r="F102" s="191"/>
      <c r="G102" s="27">
        <f>G103</f>
        <v>3975.7000000000003</v>
      </c>
      <c r="H102" s="27"/>
      <c r="I102" s="27">
        <f>I103</f>
        <v>3935.9</v>
      </c>
      <c r="J102" s="27">
        <f>J103</f>
        <v>39.8</v>
      </c>
      <c r="K102" s="27"/>
      <c r="L102" s="27">
        <f>L103</f>
        <v>0</v>
      </c>
      <c r="M102" s="27"/>
      <c r="N102" s="27">
        <f>N103</f>
        <v>0</v>
      </c>
      <c r="O102" s="27">
        <f>O103</f>
        <v>0</v>
      </c>
      <c r="P102" s="27"/>
      <c r="Q102" s="27">
        <f>Q103</f>
        <v>0</v>
      </c>
      <c r="R102" s="27"/>
      <c r="S102" s="27">
        <f>S103</f>
        <v>0</v>
      </c>
      <c r="T102" s="27">
        <f>T103</f>
        <v>0</v>
      </c>
      <c r="U102" s="27"/>
      <c r="V102" s="71">
        <f>N102/I102*100</f>
        <v>0</v>
      </c>
      <c r="W102" s="71">
        <v>0</v>
      </c>
    </row>
    <row r="103" spans="1:23" ht="12.75">
      <c r="A103" s="29" t="s">
        <v>334</v>
      </c>
      <c r="B103" s="34" t="s">
        <v>344</v>
      </c>
      <c r="C103" s="49" t="s">
        <v>325</v>
      </c>
      <c r="D103" s="51" t="s">
        <v>162</v>
      </c>
      <c r="E103" s="51" t="s">
        <v>353</v>
      </c>
      <c r="F103" s="51" t="s">
        <v>335</v>
      </c>
      <c r="G103" s="27">
        <f>G104</f>
        <v>3975.7000000000003</v>
      </c>
      <c r="H103" s="27"/>
      <c r="I103" s="27">
        <f aca="true" t="shared" si="43" ref="I103:T103">I104</f>
        <v>3935.9</v>
      </c>
      <c r="J103" s="27">
        <f t="shared" si="43"/>
        <v>39.8</v>
      </c>
      <c r="K103" s="27"/>
      <c r="L103" s="27">
        <f t="shared" si="43"/>
        <v>0</v>
      </c>
      <c r="M103" s="27"/>
      <c r="N103" s="27">
        <f t="shared" si="43"/>
        <v>0</v>
      </c>
      <c r="O103" s="27">
        <f t="shared" si="43"/>
        <v>0</v>
      </c>
      <c r="P103" s="27"/>
      <c r="Q103" s="27">
        <f t="shared" si="43"/>
        <v>0</v>
      </c>
      <c r="R103" s="27"/>
      <c r="S103" s="27">
        <f t="shared" si="43"/>
        <v>0</v>
      </c>
      <c r="T103" s="27">
        <f t="shared" si="43"/>
        <v>0</v>
      </c>
      <c r="U103" s="27"/>
      <c r="V103" s="71"/>
      <c r="W103" s="71"/>
    </row>
    <row r="104" spans="1:23" s="70" customFormat="1" ht="12.75">
      <c r="A104" s="216" t="s">
        <v>342</v>
      </c>
      <c r="B104" s="221" t="s">
        <v>344</v>
      </c>
      <c r="C104" s="214" t="s">
        <v>325</v>
      </c>
      <c r="D104" s="215" t="s">
        <v>162</v>
      </c>
      <c r="E104" s="215" t="s">
        <v>353</v>
      </c>
      <c r="F104" s="215" t="s">
        <v>335</v>
      </c>
      <c r="G104" s="71">
        <f>I104+J104</f>
        <v>3975.7000000000003</v>
      </c>
      <c r="H104" s="71"/>
      <c r="I104" s="71">
        <f>'522 55 00'!H36</f>
        <v>3935.9</v>
      </c>
      <c r="J104" s="71">
        <f>'522 55 00'!I36</f>
        <v>39.8</v>
      </c>
      <c r="K104" s="71"/>
      <c r="L104" s="71">
        <f>N104+O104</f>
        <v>0</v>
      </c>
      <c r="M104" s="71"/>
      <c r="N104" s="71">
        <f>'522 55 00'!K36</f>
        <v>0</v>
      </c>
      <c r="O104" s="71">
        <f>'522 55 00'!L36</f>
        <v>0</v>
      </c>
      <c r="P104" s="71"/>
      <c r="Q104" s="71">
        <f>S104+T104</f>
        <v>0</v>
      </c>
      <c r="R104" s="71"/>
      <c r="S104" s="71">
        <f>'522 55 00'!N36</f>
        <v>0</v>
      </c>
      <c r="T104" s="71">
        <f>'522 55 00'!O36</f>
        <v>0</v>
      </c>
      <c r="U104" s="71"/>
      <c r="V104" s="71"/>
      <c r="W104" s="71"/>
    </row>
    <row r="105" spans="1:23" ht="38.25">
      <c r="A105" s="29" t="s">
        <v>337</v>
      </c>
      <c r="B105" s="34" t="s">
        <v>344</v>
      </c>
      <c r="C105" s="49" t="s">
        <v>325</v>
      </c>
      <c r="D105" s="55">
        <v>14</v>
      </c>
      <c r="E105" s="51"/>
      <c r="F105" s="51"/>
      <c r="G105" s="27">
        <f aca="true" t="shared" si="44" ref="G105:O107">G106</f>
        <v>105798.1</v>
      </c>
      <c r="H105" s="27"/>
      <c r="I105" s="27">
        <f t="shared" si="44"/>
        <v>104740.20000000001</v>
      </c>
      <c r="J105" s="27">
        <f t="shared" si="44"/>
        <v>1057.8999999999999</v>
      </c>
      <c r="K105" s="27"/>
      <c r="L105" s="27">
        <f t="shared" si="44"/>
        <v>31720.100000000002</v>
      </c>
      <c r="M105" s="27"/>
      <c r="N105" s="27">
        <f t="shared" si="44"/>
        <v>31402.800000000003</v>
      </c>
      <c r="O105" s="27">
        <f t="shared" si="44"/>
        <v>317.30000000000007</v>
      </c>
      <c r="P105" s="27"/>
      <c r="Q105" s="27">
        <f aca="true" t="shared" si="45" ref="Q105:T107">Q106</f>
        <v>55693.9</v>
      </c>
      <c r="R105" s="27"/>
      <c r="S105" s="27">
        <f t="shared" si="45"/>
        <v>54287.9</v>
      </c>
      <c r="T105" s="27">
        <f t="shared" si="45"/>
        <v>1406</v>
      </c>
      <c r="U105" s="27"/>
      <c r="V105" s="71">
        <f>N105/I105*100</f>
        <v>29.981611644812595</v>
      </c>
      <c r="W105" s="71">
        <f>S105/N105*100</f>
        <v>172.8759855809036</v>
      </c>
    </row>
    <row r="106" spans="1:23" ht="12.75">
      <c r="A106" s="29" t="s">
        <v>338</v>
      </c>
      <c r="B106" s="34" t="s">
        <v>344</v>
      </c>
      <c r="C106" s="49" t="s">
        <v>325</v>
      </c>
      <c r="D106" s="55">
        <v>14</v>
      </c>
      <c r="E106" s="51" t="s">
        <v>331</v>
      </c>
      <c r="F106" s="51"/>
      <c r="G106" s="27">
        <f t="shared" si="44"/>
        <v>105798.1</v>
      </c>
      <c r="H106" s="27"/>
      <c r="I106" s="27">
        <f t="shared" si="44"/>
        <v>104740.20000000001</v>
      </c>
      <c r="J106" s="27">
        <f t="shared" si="44"/>
        <v>1057.8999999999999</v>
      </c>
      <c r="K106" s="27"/>
      <c r="L106" s="27">
        <f t="shared" si="44"/>
        <v>31720.100000000002</v>
      </c>
      <c r="M106" s="27"/>
      <c r="N106" s="27">
        <f t="shared" si="44"/>
        <v>31402.800000000003</v>
      </c>
      <c r="O106" s="27">
        <f t="shared" si="44"/>
        <v>317.30000000000007</v>
      </c>
      <c r="P106" s="27"/>
      <c r="Q106" s="27">
        <f t="shared" si="45"/>
        <v>55693.9</v>
      </c>
      <c r="R106" s="27"/>
      <c r="S106" s="27">
        <f t="shared" si="45"/>
        <v>54287.9</v>
      </c>
      <c r="T106" s="27">
        <f t="shared" si="45"/>
        <v>1406</v>
      </c>
      <c r="U106" s="27"/>
      <c r="V106" s="71"/>
      <c r="W106" s="71"/>
    </row>
    <row r="107" spans="1:23" ht="12.75">
      <c r="A107" s="29" t="s">
        <v>334</v>
      </c>
      <c r="B107" s="34" t="s">
        <v>344</v>
      </c>
      <c r="C107" s="49" t="s">
        <v>325</v>
      </c>
      <c r="D107" s="55">
        <v>14</v>
      </c>
      <c r="E107" s="51" t="s">
        <v>331</v>
      </c>
      <c r="F107" s="51" t="s">
        <v>335</v>
      </c>
      <c r="G107" s="27">
        <f t="shared" si="44"/>
        <v>105798.1</v>
      </c>
      <c r="H107" s="27"/>
      <c r="I107" s="27">
        <f t="shared" si="44"/>
        <v>104740.20000000001</v>
      </c>
      <c r="J107" s="27">
        <f t="shared" si="44"/>
        <v>1057.8999999999999</v>
      </c>
      <c r="K107" s="27"/>
      <c r="L107" s="27">
        <f t="shared" si="44"/>
        <v>31720.100000000002</v>
      </c>
      <c r="M107" s="27"/>
      <c r="N107" s="27">
        <f t="shared" si="44"/>
        <v>31402.800000000003</v>
      </c>
      <c r="O107" s="27">
        <f t="shared" si="44"/>
        <v>317.30000000000007</v>
      </c>
      <c r="P107" s="27"/>
      <c r="Q107" s="27">
        <f t="shared" si="45"/>
        <v>55693.9</v>
      </c>
      <c r="R107" s="27"/>
      <c r="S107" s="27">
        <f t="shared" si="45"/>
        <v>54287.9</v>
      </c>
      <c r="T107" s="27">
        <f t="shared" si="45"/>
        <v>1406</v>
      </c>
      <c r="U107" s="27"/>
      <c r="V107" s="71"/>
      <c r="W107" s="71"/>
    </row>
    <row r="108" spans="1:23" s="70" customFormat="1" ht="12.75">
      <c r="A108" s="216" t="s">
        <v>342</v>
      </c>
      <c r="B108" s="221" t="s">
        <v>344</v>
      </c>
      <c r="C108" s="214" t="s">
        <v>325</v>
      </c>
      <c r="D108" s="222">
        <v>14</v>
      </c>
      <c r="E108" s="215" t="s">
        <v>331</v>
      </c>
      <c r="F108" s="215" t="s">
        <v>335</v>
      </c>
      <c r="G108" s="71">
        <f>SUM(I108+J108)</f>
        <v>105798.1</v>
      </c>
      <c r="H108" s="71"/>
      <c r="I108" s="71">
        <f>SUM('522 55 00'!H41)</f>
        <v>104740.20000000001</v>
      </c>
      <c r="J108" s="71">
        <f>SUM('522 55 00'!I41)</f>
        <v>1057.8999999999999</v>
      </c>
      <c r="K108" s="71"/>
      <c r="L108" s="71">
        <f>SUM(N108+O108)</f>
        <v>31720.100000000002</v>
      </c>
      <c r="M108" s="71"/>
      <c r="N108" s="71">
        <f>SUM('522 55 00'!K41)</f>
        <v>31402.800000000003</v>
      </c>
      <c r="O108" s="71">
        <f>SUM('522 55 00'!L41)</f>
        <v>317.30000000000007</v>
      </c>
      <c r="P108" s="71"/>
      <c r="Q108" s="71">
        <f>SUM(S108+T108)</f>
        <v>55693.9</v>
      </c>
      <c r="R108" s="71"/>
      <c r="S108" s="71">
        <f>SUM('522 55 00'!N41)</f>
        <v>54287.9</v>
      </c>
      <c r="T108" s="71">
        <f>SUM('522 55 00'!O41)</f>
        <v>1406</v>
      </c>
      <c r="U108" s="71"/>
      <c r="V108" s="71"/>
      <c r="W108" s="71"/>
    </row>
    <row r="109" spans="1:23" ht="27" customHeight="1">
      <c r="A109" s="209" t="s">
        <v>356</v>
      </c>
      <c r="B109" s="223" t="s">
        <v>357</v>
      </c>
      <c r="C109" s="174"/>
      <c r="D109" s="82"/>
      <c r="E109" s="174"/>
      <c r="F109" s="174"/>
      <c r="G109" s="128">
        <f aca="true" t="shared" si="46" ref="G109:T109">G112</f>
        <v>342587.1</v>
      </c>
      <c r="H109" s="128"/>
      <c r="I109" s="128">
        <f t="shared" si="46"/>
        <v>332309.3</v>
      </c>
      <c r="J109" s="128">
        <f t="shared" si="46"/>
        <v>10277.8</v>
      </c>
      <c r="K109" s="128"/>
      <c r="L109" s="128">
        <f t="shared" si="46"/>
        <v>249111.79999999996</v>
      </c>
      <c r="M109" s="224"/>
      <c r="N109" s="128">
        <f t="shared" si="46"/>
        <v>241638.29999999996</v>
      </c>
      <c r="O109" s="128">
        <f t="shared" si="46"/>
        <v>7473.499999999998</v>
      </c>
      <c r="P109" s="128"/>
      <c r="Q109" s="128">
        <f t="shared" si="46"/>
        <v>333206.39999999997</v>
      </c>
      <c r="R109" s="128"/>
      <c r="S109" s="128">
        <f t="shared" si="46"/>
        <v>323560.39999999997</v>
      </c>
      <c r="T109" s="128">
        <f t="shared" si="46"/>
        <v>9646</v>
      </c>
      <c r="U109" s="128"/>
      <c r="V109" s="84">
        <f aca="true" t="shared" si="47" ref="V109:V117">N109/I109*100</f>
        <v>72.71487737478306</v>
      </c>
      <c r="W109" s="84">
        <f aca="true" t="shared" si="48" ref="W109:W117">S109/N109*100</f>
        <v>133.9027794848747</v>
      </c>
    </row>
    <row r="110" spans="1:23" s="252" customFormat="1" ht="12.75">
      <c r="A110" s="253" t="s">
        <v>196</v>
      </c>
      <c r="B110" s="483"/>
      <c r="C110" s="394"/>
      <c r="D110" s="251"/>
      <c r="E110" s="394"/>
      <c r="F110" s="39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>
        <f>S110+T110</f>
        <v>672.2</v>
      </c>
      <c r="R110" s="484"/>
      <c r="S110" s="484">
        <f>'522 58 00'!N9</f>
        <v>652</v>
      </c>
      <c r="T110" s="484">
        <f>'522 58 00'!O9</f>
        <v>20.2</v>
      </c>
      <c r="U110" s="484"/>
      <c r="V110" s="246"/>
      <c r="W110" s="246"/>
    </row>
    <row r="111" spans="1:23" s="148" customFormat="1" ht="12.75">
      <c r="A111" s="254" t="s">
        <v>195</v>
      </c>
      <c r="B111" s="225"/>
      <c r="C111" s="152"/>
      <c r="D111" s="135"/>
      <c r="E111" s="152"/>
      <c r="F111" s="152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>
        <f>S111+T111</f>
        <v>83422.40000000001</v>
      </c>
      <c r="R111" s="226"/>
      <c r="S111" s="226">
        <f>'522 58 00'!N10</f>
        <v>81270.1</v>
      </c>
      <c r="T111" s="226">
        <f>'522 58 00'!O10</f>
        <v>2152.3</v>
      </c>
      <c r="U111" s="226"/>
      <c r="V111" s="71"/>
      <c r="W111" s="71"/>
    </row>
    <row r="112" spans="1:23" ht="40.5">
      <c r="A112" s="48" t="s">
        <v>324</v>
      </c>
      <c r="B112" s="34" t="s">
        <v>357</v>
      </c>
      <c r="C112" s="49" t="s">
        <v>325</v>
      </c>
      <c r="D112" s="49"/>
      <c r="E112" s="51"/>
      <c r="F112" s="51"/>
      <c r="G112" s="58">
        <f aca="true" t="shared" si="49" ref="G112:O114">G113</f>
        <v>342587.1</v>
      </c>
      <c r="H112" s="58"/>
      <c r="I112" s="58">
        <f t="shared" si="49"/>
        <v>332309.3</v>
      </c>
      <c r="J112" s="58">
        <f t="shared" si="49"/>
        <v>10277.8</v>
      </c>
      <c r="K112" s="58"/>
      <c r="L112" s="58">
        <f>L113</f>
        <v>249111.79999999996</v>
      </c>
      <c r="M112" s="58"/>
      <c r="N112" s="58">
        <f t="shared" si="49"/>
        <v>241638.29999999996</v>
      </c>
      <c r="O112" s="58">
        <f t="shared" si="49"/>
        <v>7473.499999999998</v>
      </c>
      <c r="P112" s="58"/>
      <c r="Q112" s="58">
        <f aca="true" t="shared" si="50" ref="Q112:T114">Q113</f>
        <v>333206.39999999997</v>
      </c>
      <c r="R112" s="58"/>
      <c r="S112" s="58">
        <f t="shared" si="50"/>
        <v>323560.39999999997</v>
      </c>
      <c r="T112" s="58">
        <f t="shared" si="50"/>
        <v>9646</v>
      </c>
      <c r="U112" s="58"/>
      <c r="V112" s="71">
        <f t="shared" si="47"/>
        <v>72.71487737478306</v>
      </c>
      <c r="W112" s="71">
        <f t="shared" si="48"/>
        <v>133.9027794848747</v>
      </c>
    </row>
    <row r="113" spans="1:23" ht="12.75">
      <c r="A113" s="27" t="s">
        <v>361</v>
      </c>
      <c r="B113" s="34" t="s">
        <v>357</v>
      </c>
      <c r="C113" s="49" t="s">
        <v>325</v>
      </c>
      <c r="D113" s="51" t="s">
        <v>360</v>
      </c>
      <c r="E113" s="51"/>
      <c r="F113" s="51"/>
      <c r="G113" s="58">
        <f t="shared" si="49"/>
        <v>342587.1</v>
      </c>
      <c r="H113" s="58"/>
      <c r="I113" s="58">
        <f t="shared" si="49"/>
        <v>332309.3</v>
      </c>
      <c r="J113" s="58">
        <f t="shared" si="49"/>
        <v>10277.8</v>
      </c>
      <c r="K113" s="58"/>
      <c r="L113" s="58">
        <f t="shared" si="49"/>
        <v>249111.79999999996</v>
      </c>
      <c r="M113" s="58"/>
      <c r="N113" s="58">
        <f t="shared" si="49"/>
        <v>241638.29999999996</v>
      </c>
      <c r="O113" s="58">
        <f t="shared" si="49"/>
        <v>7473.499999999998</v>
      </c>
      <c r="P113" s="58"/>
      <c r="Q113" s="58">
        <f t="shared" si="50"/>
        <v>333206.39999999997</v>
      </c>
      <c r="R113" s="58"/>
      <c r="S113" s="58">
        <f t="shared" si="50"/>
        <v>323560.39999999997</v>
      </c>
      <c r="T113" s="58">
        <f t="shared" si="50"/>
        <v>9646</v>
      </c>
      <c r="U113" s="58"/>
      <c r="V113" s="71"/>
      <c r="W113" s="71"/>
    </row>
    <row r="114" spans="1:23" ht="12.75">
      <c r="A114" s="27" t="s">
        <v>362</v>
      </c>
      <c r="B114" s="34" t="s">
        <v>357</v>
      </c>
      <c r="C114" s="49" t="s">
        <v>325</v>
      </c>
      <c r="D114" s="51" t="s">
        <v>360</v>
      </c>
      <c r="E114" s="51" t="s">
        <v>353</v>
      </c>
      <c r="F114" s="51"/>
      <c r="G114" s="58">
        <f t="shared" si="49"/>
        <v>342587.1</v>
      </c>
      <c r="H114" s="58"/>
      <c r="I114" s="58">
        <f t="shared" si="49"/>
        <v>332309.3</v>
      </c>
      <c r="J114" s="58">
        <f t="shared" si="49"/>
        <v>10277.8</v>
      </c>
      <c r="K114" s="58"/>
      <c r="L114" s="58">
        <f t="shared" si="49"/>
        <v>249111.79999999996</v>
      </c>
      <c r="M114" s="58"/>
      <c r="N114" s="58">
        <f t="shared" si="49"/>
        <v>241638.29999999996</v>
      </c>
      <c r="O114" s="58">
        <f t="shared" si="49"/>
        <v>7473.499999999998</v>
      </c>
      <c r="P114" s="58"/>
      <c r="Q114" s="58">
        <f t="shared" si="50"/>
        <v>333206.39999999997</v>
      </c>
      <c r="R114" s="58"/>
      <c r="S114" s="58">
        <f t="shared" si="50"/>
        <v>323560.39999999997</v>
      </c>
      <c r="T114" s="58">
        <f t="shared" si="50"/>
        <v>9646</v>
      </c>
      <c r="U114" s="58"/>
      <c r="V114" s="71"/>
      <c r="W114" s="71"/>
    </row>
    <row r="115" spans="1:23" ht="12.75">
      <c r="A115" s="29" t="s">
        <v>334</v>
      </c>
      <c r="B115" s="34" t="s">
        <v>357</v>
      </c>
      <c r="C115" s="49" t="s">
        <v>325</v>
      </c>
      <c r="D115" s="51" t="s">
        <v>360</v>
      </c>
      <c r="E115" s="51" t="s">
        <v>353</v>
      </c>
      <c r="F115" s="51" t="s">
        <v>335</v>
      </c>
      <c r="G115" s="27">
        <f aca="true" t="shared" si="51" ref="G115:O115">SUM(G116+G117)</f>
        <v>342587.1</v>
      </c>
      <c r="H115" s="27"/>
      <c r="I115" s="27">
        <f t="shared" si="51"/>
        <v>332309.3</v>
      </c>
      <c r="J115" s="27">
        <f t="shared" si="51"/>
        <v>10277.8</v>
      </c>
      <c r="K115" s="27"/>
      <c r="L115" s="27">
        <f t="shared" si="51"/>
        <v>249111.79999999996</v>
      </c>
      <c r="M115" s="27"/>
      <c r="N115" s="27">
        <f t="shared" si="51"/>
        <v>241638.29999999996</v>
      </c>
      <c r="O115" s="27">
        <f t="shared" si="51"/>
        <v>7473.499999999998</v>
      </c>
      <c r="P115" s="27"/>
      <c r="Q115" s="27">
        <f>SUM(Q116+Q117)</f>
        <v>333206.39999999997</v>
      </c>
      <c r="R115" s="27"/>
      <c r="S115" s="27">
        <f>SUM(S116+S117)</f>
        <v>323560.39999999997</v>
      </c>
      <c r="T115" s="27">
        <f>SUM(T116+T117)</f>
        <v>9646</v>
      </c>
      <c r="U115" s="27"/>
      <c r="V115" s="71">
        <f t="shared" si="47"/>
        <v>72.71487737478306</v>
      </c>
      <c r="W115" s="71">
        <f t="shared" si="48"/>
        <v>133.9027794848747</v>
      </c>
    </row>
    <row r="116" spans="1:23" s="70" customFormat="1" ht="12.75">
      <c r="A116" s="216" t="s">
        <v>342</v>
      </c>
      <c r="B116" s="221" t="s">
        <v>357</v>
      </c>
      <c r="C116" s="214" t="s">
        <v>325</v>
      </c>
      <c r="D116" s="215" t="s">
        <v>360</v>
      </c>
      <c r="E116" s="215" t="s">
        <v>353</v>
      </c>
      <c r="F116" s="215" t="s">
        <v>335</v>
      </c>
      <c r="G116" s="71">
        <f>SUM(I116+J116)</f>
        <v>243987.39999999997</v>
      </c>
      <c r="H116" s="71"/>
      <c r="I116" s="71">
        <f>'522 58 00'!H15</f>
        <v>236667.59999999998</v>
      </c>
      <c r="J116" s="71">
        <f>'522 58 00'!I15</f>
        <v>7319.8</v>
      </c>
      <c r="K116" s="71"/>
      <c r="L116" s="71">
        <f>SUM(N116+O116)</f>
        <v>172992.19999999995</v>
      </c>
      <c r="M116" s="71"/>
      <c r="N116" s="71">
        <f>'522 58 00'!K15</f>
        <v>167802.29999999996</v>
      </c>
      <c r="O116" s="71">
        <f>'522 58 00'!L15</f>
        <v>5189.899999999999</v>
      </c>
      <c r="P116" s="71"/>
      <c r="Q116" s="71">
        <f>SUM(S116+T116)</f>
        <v>218885.99999999997</v>
      </c>
      <c r="R116" s="71"/>
      <c r="S116" s="71">
        <f>'522 58 00'!N15</f>
        <v>212669.59999999998</v>
      </c>
      <c r="T116" s="71">
        <f>'522 58 00'!O15</f>
        <v>6216.4</v>
      </c>
      <c r="U116" s="71"/>
      <c r="V116" s="71">
        <f t="shared" si="47"/>
        <v>70.902100667772</v>
      </c>
      <c r="W116" s="71">
        <f t="shared" si="48"/>
        <v>126.73819131203805</v>
      </c>
    </row>
    <row r="117" spans="1:23" s="70" customFormat="1" ht="12.75">
      <c r="A117" s="216" t="s">
        <v>336</v>
      </c>
      <c r="B117" s="221" t="s">
        <v>357</v>
      </c>
      <c r="C117" s="214" t="s">
        <v>325</v>
      </c>
      <c r="D117" s="215" t="s">
        <v>360</v>
      </c>
      <c r="E117" s="215" t="s">
        <v>353</v>
      </c>
      <c r="F117" s="215" t="s">
        <v>335</v>
      </c>
      <c r="G117" s="71">
        <f>SUM(I117+J117)</f>
        <v>98599.7</v>
      </c>
      <c r="H117" s="71"/>
      <c r="I117" s="71">
        <f>SUM('522 58 00'!H33)</f>
        <v>95641.7</v>
      </c>
      <c r="J117" s="71">
        <f>SUM('522 58 00'!I33)</f>
        <v>2958</v>
      </c>
      <c r="K117" s="71"/>
      <c r="L117" s="71">
        <f>SUM(N117+O117)</f>
        <v>76119.6</v>
      </c>
      <c r="M117" s="71"/>
      <c r="N117" s="71">
        <f>SUM('522 58 00'!K33)</f>
        <v>73836</v>
      </c>
      <c r="O117" s="71">
        <f>SUM('522 58 00'!L33)</f>
        <v>2283.6</v>
      </c>
      <c r="P117" s="71"/>
      <c r="Q117" s="71">
        <f>SUM(S117+T117)</f>
        <v>114320.40000000001</v>
      </c>
      <c r="R117" s="71"/>
      <c r="S117" s="71">
        <f>'522 58 00'!N33</f>
        <v>110890.8</v>
      </c>
      <c r="T117" s="71">
        <f>SUM('522 58 00'!O33)</f>
        <v>3429.5999999999995</v>
      </c>
      <c r="U117" s="71"/>
      <c r="V117" s="71">
        <f t="shared" si="47"/>
        <v>77.20063528774584</v>
      </c>
      <c r="W117" s="71">
        <f t="shared" si="48"/>
        <v>150.18527547537786</v>
      </c>
    </row>
    <row r="118" spans="1:23" ht="63.75">
      <c r="A118" s="209" t="s">
        <v>20</v>
      </c>
      <c r="B118" s="84" t="s">
        <v>359</v>
      </c>
      <c r="C118" s="174"/>
      <c r="D118" s="82"/>
      <c r="E118" s="174"/>
      <c r="F118" s="174"/>
      <c r="G118" s="84">
        <f>I118+J118</f>
        <v>196544.6</v>
      </c>
      <c r="H118" s="218"/>
      <c r="I118" s="84">
        <f>SUM(I120+I134+I130)</f>
        <v>191796.4</v>
      </c>
      <c r="J118" s="84">
        <f>SUM(J120+J134)</f>
        <v>4748.2</v>
      </c>
      <c r="K118" s="84"/>
      <c r="L118" s="84">
        <f aca="true" t="shared" si="52" ref="L118:L125">N118+O118</f>
        <v>143777.39999999997</v>
      </c>
      <c r="M118" s="218"/>
      <c r="N118" s="84">
        <f>SUM(N120+N134+N130)</f>
        <v>140430.59999999998</v>
      </c>
      <c r="O118" s="84">
        <f>SUM(O120+O134)</f>
        <v>3346.7999999999997</v>
      </c>
      <c r="P118" s="84"/>
      <c r="Q118" s="84">
        <f>S118+T118</f>
        <v>207380.9</v>
      </c>
      <c r="R118" s="84"/>
      <c r="S118" s="84">
        <f>SUM(S120+S134+S130)</f>
        <v>202108</v>
      </c>
      <c r="T118" s="84">
        <f>SUM(T120+T134)</f>
        <v>5272.899999999999</v>
      </c>
      <c r="U118" s="84"/>
      <c r="V118" s="84">
        <f>N118/I118*100</f>
        <v>73.2185797022259</v>
      </c>
      <c r="W118" s="84">
        <f>S118/N118*100</f>
        <v>143.92019972854922</v>
      </c>
    </row>
    <row r="119" spans="1:23" s="148" customFormat="1" ht="12.75">
      <c r="A119" s="254" t="s">
        <v>195</v>
      </c>
      <c r="B119" s="135"/>
      <c r="C119" s="152"/>
      <c r="D119" s="135"/>
      <c r="E119" s="152"/>
      <c r="F119" s="152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>
        <f>R119+S119+T119+U119</f>
        <v>63603.49999999999</v>
      </c>
      <c r="R119" s="135"/>
      <c r="S119" s="135">
        <f>'522 59 00'!N10</f>
        <v>61677.399999999994</v>
      </c>
      <c r="T119" s="135">
        <f>'522 59 00'!O10</f>
        <v>1926.1</v>
      </c>
      <c r="U119" s="135"/>
      <c r="V119" s="135"/>
      <c r="W119" s="135"/>
    </row>
    <row r="120" spans="1:23" ht="40.5">
      <c r="A120" s="48" t="s">
        <v>324</v>
      </c>
      <c r="B120" s="27" t="s">
        <v>359</v>
      </c>
      <c r="C120" s="49" t="s">
        <v>325</v>
      </c>
      <c r="D120" s="27"/>
      <c r="E120" s="50"/>
      <c r="F120" s="50"/>
      <c r="G120" s="28">
        <f>I120+J120</f>
        <v>194250.9</v>
      </c>
      <c r="H120" s="28"/>
      <c r="I120" s="28">
        <f>SUM(I121)</f>
        <v>189502.69999999998</v>
      </c>
      <c r="J120" s="28">
        <f>SUM(J121)</f>
        <v>4748.2</v>
      </c>
      <c r="K120" s="28"/>
      <c r="L120" s="28">
        <f>N120+O120</f>
        <v>141593.09999999998</v>
      </c>
      <c r="M120" s="28"/>
      <c r="N120" s="28">
        <f>SUM(N121)</f>
        <v>138246.3</v>
      </c>
      <c r="O120" s="28">
        <f>SUM(O121)</f>
        <v>3346.7999999999997</v>
      </c>
      <c r="P120" s="28"/>
      <c r="Q120" s="28">
        <f>S120+T120</f>
        <v>205196.6</v>
      </c>
      <c r="R120" s="28"/>
      <c r="S120" s="28">
        <f>SUM(S121)</f>
        <v>199923.7</v>
      </c>
      <c r="T120" s="28">
        <f>SUM(T121)</f>
        <v>5272.899999999999</v>
      </c>
      <c r="U120" s="28"/>
      <c r="V120" s="75">
        <f>N120/I120*100</f>
        <v>72.95215318831869</v>
      </c>
      <c r="W120" s="75">
        <f>S120/N120*100</f>
        <v>144.61414157196253</v>
      </c>
    </row>
    <row r="121" spans="1:23" ht="12.75">
      <c r="A121" s="29" t="s">
        <v>361</v>
      </c>
      <c r="B121" s="27" t="s">
        <v>359</v>
      </c>
      <c r="C121" s="49" t="s">
        <v>325</v>
      </c>
      <c r="D121" s="51" t="s">
        <v>360</v>
      </c>
      <c r="E121" s="50"/>
      <c r="F121" s="50"/>
      <c r="G121" s="27">
        <f>SUM(G122)</f>
        <v>194250.9</v>
      </c>
      <c r="H121" s="27"/>
      <c r="I121" s="27">
        <f>SUM(I122)</f>
        <v>189502.69999999998</v>
      </c>
      <c r="J121" s="27">
        <f>SUM(J122)</f>
        <v>4748.2</v>
      </c>
      <c r="K121" s="27"/>
      <c r="L121" s="27">
        <f t="shared" si="52"/>
        <v>141593.09999999998</v>
      </c>
      <c r="M121" s="27"/>
      <c r="N121" s="27">
        <f>SUM(N122)</f>
        <v>138246.3</v>
      </c>
      <c r="O121" s="27">
        <f>O122</f>
        <v>3346.7999999999997</v>
      </c>
      <c r="P121" s="27"/>
      <c r="Q121" s="27">
        <f>S121+T121</f>
        <v>205196.6</v>
      </c>
      <c r="R121" s="27"/>
      <c r="S121" s="27">
        <f>SUM(S122)</f>
        <v>199923.7</v>
      </c>
      <c r="T121" s="27">
        <f>SUM(T122)</f>
        <v>5272.899999999999</v>
      </c>
      <c r="U121" s="27"/>
      <c r="V121" s="27"/>
      <c r="W121" s="27"/>
    </row>
    <row r="122" spans="1:23" ht="12.75">
      <c r="A122" s="29" t="s">
        <v>362</v>
      </c>
      <c r="B122" s="27" t="s">
        <v>359</v>
      </c>
      <c r="C122" s="49" t="s">
        <v>325</v>
      </c>
      <c r="D122" s="51" t="s">
        <v>360</v>
      </c>
      <c r="E122" s="51" t="s">
        <v>353</v>
      </c>
      <c r="F122" s="50"/>
      <c r="G122" s="27">
        <f>SUM(G123+G126)</f>
        <v>194250.9</v>
      </c>
      <c r="H122" s="27"/>
      <c r="I122" s="27">
        <f>SUM(I123+I126)</f>
        <v>189502.69999999998</v>
      </c>
      <c r="J122" s="27">
        <f>SUM(J123+J126)</f>
        <v>4748.2</v>
      </c>
      <c r="K122" s="27"/>
      <c r="L122" s="27">
        <f t="shared" si="52"/>
        <v>141593.09999999998</v>
      </c>
      <c r="M122" s="27"/>
      <c r="N122" s="27">
        <f>SUM(N123+N126)</f>
        <v>138246.3</v>
      </c>
      <c r="O122" s="27">
        <f>SUM(O123+O126)</f>
        <v>3346.7999999999997</v>
      </c>
      <c r="P122" s="27"/>
      <c r="Q122" s="27">
        <f>S122+T122</f>
        <v>205196.6</v>
      </c>
      <c r="R122" s="27"/>
      <c r="S122" s="27">
        <f>SUM(S123+S126)</f>
        <v>199923.7</v>
      </c>
      <c r="T122" s="27">
        <f>SUM(T123+T126)</f>
        <v>5272.899999999999</v>
      </c>
      <c r="U122" s="27"/>
      <c r="V122" s="27"/>
      <c r="W122" s="27"/>
    </row>
    <row r="123" spans="1:24" ht="12.75">
      <c r="A123" s="227" t="s">
        <v>354</v>
      </c>
      <c r="B123" s="27" t="s">
        <v>359</v>
      </c>
      <c r="C123" s="49" t="s">
        <v>325</v>
      </c>
      <c r="D123" s="51" t="s">
        <v>360</v>
      </c>
      <c r="E123" s="51" t="s">
        <v>353</v>
      </c>
      <c r="F123" s="51" t="s">
        <v>355</v>
      </c>
      <c r="G123" s="27">
        <f>SUM(G124+G125)</f>
        <v>35976.5</v>
      </c>
      <c r="H123" s="27"/>
      <c r="I123" s="27">
        <f>SUM(I124+I125)</f>
        <v>35976.5</v>
      </c>
      <c r="J123" s="27"/>
      <c r="K123" s="27"/>
      <c r="L123" s="27">
        <f t="shared" si="52"/>
        <v>30047.100000000002</v>
      </c>
      <c r="M123" s="27"/>
      <c r="N123" s="71">
        <f>SUM(N124+N125)</f>
        <v>30047.100000000002</v>
      </c>
      <c r="O123" s="27"/>
      <c r="P123" s="27"/>
      <c r="Q123" s="27">
        <f>SUM(Q124+Q125)</f>
        <v>30047.100000000002</v>
      </c>
      <c r="R123" s="27"/>
      <c r="S123" s="27">
        <f>SUM(S124+S125)</f>
        <v>30047.100000000002</v>
      </c>
      <c r="T123" s="27"/>
      <c r="U123" s="27"/>
      <c r="V123" s="71">
        <f aca="true" t="shared" si="53" ref="V123:V134">N123/I123*100</f>
        <v>83.51868580879186</v>
      </c>
      <c r="W123" s="71">
        <f aca="true" t="shared" si="54" ref="W123:W129">S123/N123*100</f>
        <v>100</v>
      </c>
      <c r="X123" s="70"/>
    </row>
    <row r="124" spans="1:23" ht="25.5">
      <c r="A124" s="29" t="s">
        <v>324</v>
      </c>
      <c r="B124" s="27" t="s">
        <v>359</v>
      </c>
      <c r="C124" s="49" t="s">
        <v>325</v>
      </c>
      <c r="D124" s="51" t="s">
        <v>360</v>
      </c>
      <c r="E124" s="51" t="s">
        <v>353</v>
      </c>
      <c r="F124" s="51" t="s">
        <v>355</v>
      </c>
      <c r="G124" s="27">
        <f>'522 59 00'!G15</f>
        <v>25552.6</v>
      </c>
      <c r="H124" s="27"/>
      <c r="I124" s="27">
        <f>'522 59 00'!H15</f>
        <v>25552.6</v>
      </c>
      <c r="J124" s="27"/>
      <c r="K124" s="27"/>
      <c r="L124" s="27">
        <f t="shared" si="52"/>
        <v>24756.4</v>
      </c>
      <c r="M124" s="27"/>
      <c r="N124" s="27">
        <f>'522 59 00'!K15</f>
        <v>24756.4</v>
      </c>
      <c r="O124" s="27"/>
      <c r="P124" s="27"/>
      <c r="Q124" s="27">
        <f>S124+T124</f>
        <v>24756.4</v>
      </c>
      <c r="R124" s="27"/>
      <c r="S124" s="27">
        <f>'522 59 00'!N15</f>
        <v>24756.4</v>
      </c>
      <c r="T124" s="27"/>
      <c r="U124" s="27"/>
      <c r="V124" s="71">
        <f t="shared" si="53"/>
        <v>96.88407441904153</v>
      </c>
      <c r="W124" s="71">
        <f t="shared" si="54"/>
        <v>100</v>
      </c>
    </row>
    <row r="125" spans="1:23" ht="25.5">
      <c r="A125" s="29" t="s">
        <v>61</v>
      </c>
      <c r="B125" s="27" t="s">
        <v>359</v>
      </c>
      <c r="C125" s="49" t="s">
        <v>325</v>
      </c>
      <c r="D125" s="51" t="s">
        <v>360</v>
      </c>
      <c r="E125" s="51" t="s">
        <v>353</v>
      </c>
      <c r="F125" s="51" t="s">
        <v>355</v>
      </c>
      <c r="G125" s="27">
        <f>'522 59 00'!G18</f>
        <v>10423.9</v>
      </c>
      <c r="H125" s="27"/>
      <c r="I125" s="27">
        <f>'522 59 00'!H18</f>
        <v>10423.9</v>
      </c>
      <c r="J125" s="27"/>
      <c r="K125" s="27"/>
      <c r="L125" s="27">
        <f t="shared" si="52"/>
        <v>5290.7</v>
      </c>
      <c r="M125" s="27"/>
      <c r="N125" s="27">
        <f>'522 59 00'!K18</f>
        <v>5290.7</v>
      </c>
      <c r="O125" s="27"/>
      <c r="P125" s="27"/>
      <c r="Q125" s="27">
        <f>S125</f>
        <v>5290.7</v>
      </c>
      <c r="R125" s="27"/>
      <c r="S125" s="27">
        <f>'522 59 00'!N18</f>
        <v>5290.7</v>
      </c>
      <c r="T125" s="27"/>
      <c r="U125" s="27"/>
      <c r="V125" s="71">
        <f t="shared" si="53"/>
        <v>50.75547539788371</v>
      </c>
      <c r="W125" s="71">
        <f t="shared" si="54"/>
        <v>100</v>
      </c>
    </row>
    <row r="126" spans="1:23" ht="12.75">
      <c r="A126" s="29" t="s">
        <v>23</v>
      </c>
      <c r="B126" s="27" t="s">
        <v>359</v>
      </c>
      <c r="C126" s="49" t="s">
        <v>325</v>
      </c>
      <c r="D126" s="51" t="s">
        <v>360</v>
      </c>
      <c r="E126" s="51" t="s">
        <v>353</v>
      </c>
      <c r="F126" s="51" t="s">
        <v>335</v>
      </c>
      <c r="G126" s="27">
        <f>SUM(I126+J126)</f>
        <v>158274.4</v>
      </c>
      <c r="H126" s="27"/>
      <c r="I126" s="27">
        <f>SUM(I127+I128+I129)</f>
        <v>153526.19999999998</v>
      </c>
      <c r="J126" s="27">
        <f>SUM(J127+J128+J129)</f>
        <v>4748.2</v>
      </c>
      <c r="K126" s="27"/>
      <c r="L126" s="27">
        <f>SUM(N126+O126)</f>
        <v>111546</v>
      </c>
      <c r="M126" s="27"/>
      <c r="N126" s="27">
        <f>SUM(N127+N128+N129)</f>
        <v>108199.2</v>
      </c>
      <c r="O126" s="27">
        <f>SUM(O127+O128+O129)</f>
        <v>3346.7999999999997</v>
      </c>
      <c r="P126" s="27"/>
      <c r="Q126" s="27">
        <f>SUM(S126+T126)</f>
        <v>175149.5</v>
      </c>
      <c r="R126" s="27"/>
      <c r="S126" s="27">
        <f>SUM(S127+S128+S129)</f>
        <v>169876.6</v>
      </c>
      <c r="T126" s="27">
        <f>SUM(T127+T128+T129)</f>
        <v>5272.899999999999</v>
      </c>
      <c r="U126" s="27"/>
      <c r="V126" s="71">
        <f t="shared" si="53"/>
        <v>70.4760490391868</v>
      </c>
      <c r="W126" s="71">
        <f t="shared" si="54"/>
        <v>157.00356379714452</v>
      </c>
    </row>
    <row r="127" spans="1:23" s="70" customFormat="1" ht="12.75">
      <c r="A127" s="216" t="s">
        <v>342</v>
      </c>
      <c r="B127" s="71" t="s">
        <v>359</v>
      </c>
      <c r="C127" s="214" t="s">
        <v>325</v>
      </c>
      <c r="D127" s="215" t="s">
        <v>360</v>
      </c>
      <c r="E127" s="215" t="s">
        <v>353</v>
      </c>
      <c r="F127" s="215" t="s">
        <v>335</v>
      </c>
      <c r="G127" s="71">
        <f>SUM(I127+J127)</f>
        <v>27609.6</v>
      </c>
      <c r="H127" s="71"/>
      <c r="I127" s="71">
        <f>SUM('522 59 00'!H23)</f>
        <v>26781.3</v>
      </c>
      <c r="J127" s="71">
        <f>SUM('522 59 00'!I23)</f>
        <v>828.3</v>
      </c>
      <c r="K127" s="71"/>
      <c r="L127" s="71">
        <f>SUM(N127+O127)</f>
        <v>12197.8</v>
      </c>
      <c r="M127" s="71"/>
      <c r="N127" s="71">
        <f>SUM('522 59 00'!K23)</f>
        <v>11831.9</v>
      </c>
      <c r="O127" s="71">
        <f>SUM('522 59 00'!L23)</f>
        <v>365.90000000000003</v>
      </c>
      <c r="P127" s="71"/>
      <c r="Q127" s="71">
        <f>SUM(S127+T127)</f>
        <v>12734</v>
      </c>
      <c r="R127" s="71"/>
      <c r="S127" s="71">
        <f>SUM('522 59 00'!N23)</f>
        <v>12352</v>
      </c>
      <c r="T127" s="71">
        <f>SUM('522 59 00'!O23)</f>
        <v>382.00000000000006</v>
      </c>
      <c r="U127" s="71"/>
      <c r="V127" s="71">
        <f t="shared" si="53"/>
        <v>44.179707482459776</v>
      </c>
      <c r="W127" s="71">
        <f t="shared" si="54"/>
        <v>104.39574370980147</v>
      </c>
    </row>
    <row r="128" spans="1:23" s="70" customFormat="1" ht="12.75">
      <c r="A128" s="216" t="s">
        <v>336</v>
      </c>
      <c r="B128" s="71" t="s">
        <v>359</v>
      </c>
      <c r="C128" s="214" t="s">
        <v>325</v>
      </c>
      <c r="D128" s="215" t="s">
        <v>360</v>
      </c>
      <c r="E128" s="215" t="s">
        <v>353</v>
      </c>
      <c r="F128" s="215" t="s">
        <v>335</v>
      </c>
      <c r="G128" s="71">
        <f>SUM(I128+J128)</f>
        <v>129237</v>
      </c>
      <c r="H128" s="71"/>
      <c r="I128" s="71">
        <f>SUM('522 59 00'!H32)</f>
        <v>125359.9</v>
      </c>
      <c r="J128" s="71">
        <f>SUM('522 59 00'!I32)</f>
        <v>3877.1</v>
      </c>
      <c r="K128" s="71"/>
      <c r="L128" s="71">
        <f>SUM(N128+O128)</f>
        <v>98948.2</v>
      </c>
      <c r="M128" s="71"/>
      <c r="N128" s="71">
        <f>SUM('522 59 00'!K32)</f>
        <v>95979.7</v>
      </c>
      <c r="O128" s="71">
        <f>SUM('522 59 00'!L32)</f>
        <v>2968.4999999999995</v>
      </c>
      <c r="P128" s="71"/>
      <c r="Q128" s="71">
        <f>SUM(S128+T128)</f>
        <v>162015.5</v>
      </c>
      <c r="R128" s="71"/>
      <c r="S128" s="71">
        <f>SUM('522 59 00'!N32)</f>
        <v>157137</v>
      </c>
      <c r="T128" s="71">
        <f>SUM('522 59 00'!O32)</f>
        <v>4878.499999999999</v>
      </c>
      <c r="U128" s="71"/>
      <c r="V128" s="71">
        <f t="shared" si="53"/>
        <v>76.56331889224545</v>
      </c>
      <c r="W128" s="71">
        <f t="shared" si="54"/>
        <v>163.71899474576395</v>
      </c>
    </row>
    <row r="129" spans="1:23" s="70" customFormat="1" ht="13.5" customHeight="1">
      <c r="A129" s="216" t="s">
        <v>294</v>
      </c>
      <c r="B129" s="71" t="s">
        <v>359</v>
      </c>
      <c r="C129" s="214" t="s">
        <v>325</v>
      </c>
      <c r="D129" s="215" t="s">
        <v>360</v>
      </c>
      <c r="E129" s="215" t="s">
        <v>353</v>
      </c>
      <c r="F129" s="215" t="s">
        <v>335</v>
      </c>
      <c r="G129" s="71">
        <f>I129+J129</f>
        <v>1427.8</v>
      </c>
      <c r="H129" s="71"/>
      <c r="I129" s="71">
        <f>'522 59 00'!H58</f>
        <v>1385</v>
      </c>
      <c r="J129" s="71">
        <f>'522 59 00'!I59</f>
        <v>42.8</v>
      </c>
      <c r="K129" s="71"/>
      <c r="L129" s="71">
        <f>N129+O129</f>
        <v>400</v>
      </c>
      <c r="M129" s="71"/>
      <c r="N129" s="71">
        <f>'522 59 00'!K58</f>
        <v>387.6</v>
      </c>
      <c r="O129" s="71">
        <f>'522 59 00'!L58</f>
        <v>12.4</v>
      </c>
      <c r="P129" s="71"/>
      <c r="Q129" s="71">
        <f>S129+T129</f>
        <v>400</v>
      </c>
      <c r="R129" s="71"/>
      <c r="S129" s="71">
        <f>'522 59 00'!N58</f>
        <v>387.6</v>
      </c>
      <c r="T129" s="71">
        <f>'522 59 00'!O58</f>
        <v>12.4</v>
      </c>
      <c r="U129" s="71"/>
      <c r="V129" s="71">
        <f t="shared" si="53"/>
        <v>27.985559566787003</v>
      </c>
      <c r="W129" s="71">
        <f t="shared" si="54"/>
        <v>100</v>
      </c>
    </row>
    <row r="130" spans="1:23" ht="27">
      <c r="A130" s="48" t="s">
        <v>281</v>
      </c>
      <c r="B130" s="27" t="s">
        <v>359</v>
      </c>
      <c r="C130" s="51" t="s">
        <v>349</v>
      </c>
      <c r="D130" s="51"/>
      <c r="E130" s="50"/>
      <c r="F130" s="50"/>
      <c r="G130" s="28">
        <f>SUM(G131)</f>
        <v>1939.7</v>
      </c>
      <c r="H130" s="28"/>
      <c r="I130" s="28">
        <f>I131</f>
        <v>1939.7</v>
      </c>
      <c r="J130" s="27"/>
      <c r="K130" s="27"/>
      <c r="L130" s="28">
        <f>O130+N130</f>
        <v>1830.3</v>
      </c>
      <c r="M130" s="28"/>
      <c r="N130" s="28">
        <f>N131</f>
        <v>1830.3</v>
      </c>
      <c r="O130" s="406"/>
      <c r="P130" s="406"/>
      <c r="Q130" s="406"/>
      <c r="R130" s="406"/>
      <c r="S130" s="407">
        <f>S131</f>
        <v>1830.3</v>
      </c>
      <c r="T130" s="408"/>
      <c r="U130" s="408"/>
      <c r="V130" s="28">
        <f>N130/I130*100</f>
        <v>94.35995256998504</v>
      </c>
      <c r="W130" s="28">
        <f>S130/N130*100</f>
        <v>100</v>
      </c>
    </row>
    <row r="131" spans="1:23" ht="12.75">
      <c r="A131" s="29" t="s">
        <v>352</v>
      </c>
      <c r="B131" s="27" t="s">
        <v>359</v>
      </c>
      <c r="C131" s="49" t="s">
        <v>349</v>
      </c>
      <c r="D131" s="51" t="s">
        <v>350</v>
      </c>
      <c r="E131" s="51"/>
      <c r="F131" s="51"/>
      <c r="G131" s="27">
        <f>SUM(G132)</f>
        <v>1939.7</v>
      </c>
      <c r="H131" s="27"/>
      <c r="I131" s="27">
        <f>I132</f>
        <v>1939.7</v>
      </c>
      <c r="J131" s="27"/>
      <c r="K131" s="27"/>
      <c r="L131" s="27">
        <f>O131+N131</f>
        <v>1830.3</v>
      </c>
      <c r="M131" s="27"/>
      <c r="N131" s="27">
        <f>N132</f>
        <v>1830.3</v>
      </c>
      <c r="O131" s="403"/>
      <c r="P131" s="403"/>
      <c r="Q131" s="404"/>
      <c r="R131" s="404"/>
      <c r="S131" s="409">
        <f>S132</f>
        <v>1830.3</v>
      </c>
      <c r="T131" s="405"/>
      <c r="U131" s="405"/>
      <c r="V131" s="27"/>
      <c r="W131" s="27"/>
    </row>
    <row r="132" spans="1:23" ht="13.5">
      <c r="A132" s="57" t="s">
        <v>282</v>
      </c>
      <c r="B132" s="27" t="s">
        <v>359</v>
      </c>
      <c r="C132" s="51" t="s">
        <v>349</v>
      </c>
      <c r="D132" s="49" t="s">
        <v>350</v>
      </c>
      <c r="E132" s="51" t="s">
        <v>350</v>
      </c>
      <c r="F132" s="50"/>
      <c r="G132" s="27">
        <f>SUM(G133)</f>
        <v>1939.7</v>
      </c>
      <c r="H132" s="27"/>
      <c r="I132" s="27">
        <f>I133</f>
        <v>1939.7</v>
      </c>
      <c r="J132" s="28"/>
      <c r="K132" s="28"/>
      <c r="L132" s="27">
        <f>O132+N132</f>
        <v>1830.3</v>
      </c>
      <c r="M132" s="27"/>
      <c r="N132" s="27">
        <f>N133</f>
        <v>1830.3</v>
      </c>
      <c r="O132" s="410"/>
      <c r="P132" s="410"/>
      <c r="Q132" s="404"/>
      <c r="R132" s="404"/>
      <c r="S132" s="409">
        <f>S133</f>
        <v>1830.3</v>
      </c>
      <c r="T132" s="404"/>
      <c r="U132" s="404"/>
      <c r="V132" s="27"/>
      <c r="W132" s="27"/>
    </row>
    <row r="133" spans="1:23" ht="12.75">
      <c r="A133" s="27" t="s">
        <v>283</v>
      </c>
      <c r="B133" s="27" t="s">
        <v>359</v>
      </c>
      <c r="C133" s="51" t="s">
        <v>349</v>
      </c>
      <c r="D133" s="51" t="s">
        <v>350</v>
      </c>
      <c r="E133" s="50" t="s">
        <v>350</v>
      </c>
      <c r="F133" s="50" t="s">
        <v>37</v>
      </c>
      <c r="G133" s="27">
        <f>SUM(I133+J133)</f>
        <v>1939.7</v>
      </c>
      <c r="H133" s="27"/>
      <c r="I133" s="27">
        <f>'522 59 00'!H63</f>
        <v>1939.7</v>
      </c>
      <c r="J133" s="27"/>
      <c r="K133" s="27"/>
      <c r="L133" s="27">
        <f>O133+N133</f>
        <v>1830.3</v>
      </c>
      <c r="M133" s="27"/>
      <c r="N133" s="27">
        <f>'522 59 00'!K64</f>
        <v>1830.3</v>
      </c>
      <c r="O133" s="404"/>
      <c r="P133" s="404"/>
      <c r="Q133" s="404"/>
      <c r="R133" s="404"/>
      <c r="S133" s="409">
        <f>'522 59 00'!N63</f>
        <v>1830.3</v>
      </c>
      <c r="T133" s="405"/>
      <c r="U133" s="405"/>
      <c r="V133" s="27"/>
      <c r="W133" s="27"/>
    </row>
    <row r="134" spans="1:23" ht="40.5">
      <c r="A134" s="61" t="s">
        <v>364</v>
      </c>
      <c r="B134" s="27" t="s">
        <v>359</v>
      </c>
      <c r="C134" s="51" t="s">
        <v>365</v>
      </c>
      <c r="D134" s="27"/>
      <c r="E134" s="50"/>
      <c r="F134" s="50"/>
      <c r="G134" s="28">
        <f aca="true" t="shared" si="55" ref="G134:J136">SUM(G135)</f>
        <v>354</v>
      </c>
      <c r="H134" s="28"/>
      <c r="I134" s="28">
        <f t="shared" si="55"/>
        <v>354</v>
      </c>
      <c r="J134" s="28">
        <f t="shared" si="55"/>
        <v>0</v>
      </c>
      <c r="K134" s="28"/>
      <c r="L134" s="28">
        <f aca="true" t="shared" si="56" ref="L134:O136">SUM(L135)</f>
        <v>354</v>
      </c>
      <c r="M134" s="28"/>
      <c r="N134" s="28">
        <f t="shared" si="56"/>
        <v>354</v>
      </c>
      <c r="O134" s="28">
        <f t="shared" si="56"/>
        <v>0</v>
      </c>
      <c r="P134" s="28"/>
      <c r="Q134" s="28">
        <f aca="true" t="shared" si="57" ref="Q134:T136">SUM(Q135)</f>
        <v>354</v>
      </c>
      <c r="R134" s="28"/>
      <c r="S134" s="28">
        <f t="shared" si="57"/>
        <v>354</v>
      </c>
      <c r="T134" s="28">
        <f t="shared" si="57"/>
        <v>0</v>
      </c>
      <c r="U134" s="28"/>
      <c r="V134" s="28">
        <f t="shared" si="53"/>
        <v>100</v>
      </c>
      <c r="W134" s="28">
        <f>S134/N134*100</f>
        <v>100</v>
      </c>
    </row>
    <row r="135" spans="1:23" ht="12.75">
      <c r="A135" s="27" t="s">
        <v>367</v>
      </c>
      <c r="B135" s="27" t="s">
        <v>359</v>
      </c>
      <c r="C135" s="51" t="s">
        <v>365</v>
      </c>
      <c r="D135" s="51" t="s">
        <v>366</v>
      </c>
      <c r="E135" s="50"/>
      <c r="F135" s="50"/>
      <c r="G135" s="27">
        <f t="shared" si="55"/>
        <v>354</v>
      </c>
      <c r="H135" s="27"/>
      <c r="I135" s="27">
        <f t="shared" si="55"/>
        <v>354</v>
      </c>
      <c r="J135" s="27">
        <f t="shared" si="55"/>
        <v>0</v>
      </c>
      <c r="K135" s="27"/>
      <c r="L135" s="27">
        <f t="shared" si="56"/>
        <v>354</v>
      </c>
      <c r="M135" s="27"/>
      <c r="N135" s="27">
        <f t="shared" si="56"/>
        <v>354</v>
      </c>
      <c r="O135" s="27">
        <f t="shared" si="56"/>
        <v>0</v>
      </c>
      <c r="P135" s="27"/>
      <c r="Q135" s="27">
        <f t="shared" si="57"/>
        <v>354</v>
      </c>
      <c r="R135" s="27"/>
      <c r="S135" s="27">
        <f t="shared" si="57"/>
        <v>354</v>
      </c>
      <c r="T135" s="27">
        <f t="shared" si="57"/>
        <v>0</v>
      </c>
      <c r="U135" s="27"/>
      <c r="V135" s="27"/>
      <c r="W135" s="27"/>
    </row>
    <row r="136" spans="1:23" ht="12.75">
      <c r="A136" s="29" t="s">
        <v>369</v>
      </c>
      <c r="B136" s="27" t="s">
        <v>359</v>
      </c>
      <c r="C136" s="49" t="s">
        <v>365</v>
      </c>
      <c r="D136" s="51" t="s">
        <v>366</v>
      </c>
      <c r="E136" s="51" t="s">
        <v>368</v>
      </c>
      <c r="F136" s="51"/>
      <c r="G136" s="27">
        <f t="shared" si="55"/>
        <v>354</v>
      </c>
      <c r="H136" s="27"/>
      <c r="I136" s="27">
        <f t="shared" si="55"/>
        <v>354</v>
      </c>
      <c r="J136" s="27">
        <f t="shared" si="55"/>
        <v>0</v>
      </c>
      <c r="K136" s="27"/>
      <c r="L136" s="27">
        <f t="shared" si="56"/>
        <v>354</v>
      </c>
      <c r="M136" s="27"/>
      <c r="N136" s="27">
        <f t="shared" si="56"/>
        <v>354</v>
      </c>
      <c r="O136" s="29">
        <f t="shared" si="56"/>
        <v>0</v>
      </c>
      <c r="P136" s="403"/>
      <c r="Q136" s="404">
        <f t="shared" si="57"/>
        <v>354</v>
      </c>
      <c r="R136" s="404"/>
      <c r="S136" s="404">
        <f t="shared" si="57"/>
        <v>354</v>
      </c>
      <c r="T136" s="405">
        <f t="shared" si="57"/>
        <v>0</v>
      </c>
      <c r="U136" s="405"/>
      <c r="V136" s="27"/>
      <c r="W136" s="27"/>
    </row>
    <row r="137" spans="1:23" ht="12.75">
      <c r="A137" s="29" t="s">
        <v>345</v>
      </c>
      <c r="B137" s="27" t="s">
        <v>359</v>
      </c>
      <c r="C137" s="51" t="s">
        <v>365</v>
      </c>
      <c r="D137" s="49" t="s">
        <v>366</v>
      </c>
      <c r="E137" s="51" t="s">
        <v>368</v>
      </c>
      <c r="F137" s="50" t="s">
        <v>346</v>
      </c>
      <c r="G137" s="27">
        <f>SUM(I137+J137)</f>
        <v>354</v>
      </c>
      <c r="H137" s="27"/>
      <c r="I137" s="27">
        <f>SUM('522 59 00'!H68)</f>
        <v>354</v>
      </c>
      <c r="J137" s="27">
        <f>SUM('522 59 00'!I68)</f>
        <v>0</v>
      </c>
      <c r="K137" s="27"/>
      <c r="L137" s="27">
        <f>SUM(N137+O137)</f>
        <v>354</v>
      </c>
      <c r="M137" s="27"/>
      <c r="N137" s="27">
        <f>SUM('522 59 00'!K68)</f>
        <v>354</v>
      </c>
      <c r="O137" s="400">
        <f>SUM('522 59 00'!L68)</f>
        <v>0</v>
      </c>
      <c r="P137" s="400"/>
      <c r="Q137" s="404">
        <f>SUM(S137+T137)</f>
        <v>354</v>
      </c>
      <c r="R137" s="404"/>
      <c r="S137" s="405">
        <f>SUM('522 59 00'!N68)</f>
        <v>354</v>
      </c>
      <c r="T137" s="404">
        <f>SUM('522 59 00'!O68)</f>
        <v>0</v>
      </c>
      <c r="U137" s="404"/>
      <c r="V137" s="27"/>
      <c r="W137" s="27"/>
    </row>
    <row r="138" spans="1:23" s="9" customFormat="1" ht="38.25">
      <c r="A138" s="209" t="s">
        <v>0</v>
      </c>
      <c r="B138" s="209" t="s">
        <v>1</v>
      </c>
      <c r="C138" s="228"/>
      <c r="D138" s="209"/>
      <c r="E138" s="228"/>
      <c r="F138" s="228"/>
      <c r="G138" s="84">
        <f>SUM(I138+J138)</f>
        <v>112885.70000000001</v>
      </c>
      <c r="H138" s="84"/>
      <c r="I138" s="84">
        <f>SUM(I139+I144)</f>
        <v>112730.20000000001</v>
      </c>
      <c r="J138" s="84">
        <f aca="true" t="shared" si="58" ref="G138:O146">SUM(J139)</f>
        <v>155.5</v>
      </c>
      <c r="K138" s="84"/>
      <c r="L138" s="84">
        <f>SUM(N138+O138)</f>
        <v>107609.79999999999</v>
      </c>
      <c r="M138" s="84"/>
      <c r="N138" s="84">
        <f>N139+N144</f>
        <v>107454.29999999999</v>
      </c>
      <c r="O138" s="84">
        <f>O139+O144</f>
        <v>155.5</v>
      </c>
      <c r="P138" s="84"/>
      <c r="Q138" s="84">
        <f>SUM(S138+T138)</f>
        <v>107609.79999999999</v>
      </c>
      <c r="R138" s="84"/>
      <c r="S138" s="84">
        <f>S139+S144</f>
        <v>107454.29999999999</v>
      </c>
      <c r="T138" s="84">
        <f>T139+T144</f>
        <v>155.5</v>
      </c>
      <c r="U138" s="84"/>
      <c r="V138" s="84">
        <f>N138/I138*100</f>
        <v>95.31988766098168</v>
      </c>
      <c r="W138" s="84">
        <f>(Q138/L138)*100</f>
        <v>100</v>
      </c>
    </row>
    <row r="139" spans="1:23" ht="19.5" customHeight="1">
      <c r="A139" s="59" t="s">
        <v>177</v>
      </c>
      <c r="B139" s="30" t="s">
        <v>1</v>
      </c>
      <c r="C139" s="47" t="s">
        <v>2</v>
      </c>
      <c r="D139" s="28"/>
      <c r="E139" s="56"/>
      <c r="F139" s="56"/>
      <c r="G139" s="28">
        <f t="shared" si="58"/>
        <v>9071.7</v>
      </c>
      <c r="H139" s="28"/>
      <c r="I139" s="28">
        <f t="shared" si="58"/>
        <v>8916.2</v>
      </c>
      <c r="J139" s="28">
        <f t="shared" si="58"/>
        <v>155.5</v>
      </c>
      <c r="K139" s="28"/>
      <c r="L139" s="28">
        <f t="shared" si="58"/>
        <v>9071.7</v>
      </c>
      <c r="M139" s="28"/>
      <c r="N139" s="28">
        <f t="shared" si="58"/>
        <v>8916.2</v>
      </c>
      <c r="O139" s="75">
        <f t="shared" si="58"/>
        <v>155.5</v>
      </c>
      <c r="P139" s="28"/>
      <c r="Q139" s="75">
        <f aca="true" t="shared" si="59" ref="Q139:T146">SUM(Q140)</f>
        <v>9071.7</v>
      </c>
      <c r="R139" s="75"/>
      <c r="S139" s="75">
        <f t="shared" si="59"/>
        <v>8916.2</v>
      </c>
      <c r="T139" s="75">
        <f t="shared" si="59"/>
        <v>155.5</v>
      </c>
      <c r="U139" s="28"/>
      <c r="V139" s="75">
        <f>N139/I139*100</f>
        <v>100</v>
      </c>
      <c r="W139" s="28">
        <f>(Q139/L139)*100</f>
        <v>100</v>
      </c>
    </row>
    <row r="140" spans="1:23" ht="12.75">
      <c r="A140" s="27" t="s">
        <v>5</v>
      </c>
      <c r="B140" s="29" t="s">
        <v>1</v>
      </c>
      <c r="C140" s="51" t="s">
        <v>2</v>
      </c>
      <c r="D140" s="51" t="s">
        <v>368</v>
      </c>
      <c r="E140" s="50"/>
      <c r="F140" s="50"/>
      <c r="G140" s="27">
        <f t="shared" si="58"/>
        <v>9071.7</v>
      </c>
      <c r="H140" s="27"/>
      <c r="I140" s="27">
        <f t="shared" si="58"/>
        <v>8916.2</v>
      </c>
      <c r="J140" s="27">
        <f t="shared" si="58"/>
        <v>155.5</v>
      </c>
      <c r="K140" s="27"/>
      <c r="L140" s="27">
        <f t="shared" si="58"/>
        <v>9071.7</v>
      </c>
      <c r="M140" s="27"/>
      <c r="N140" s="27">
        <f t="shared" si="58"/>
        <v>8916.2</v>
      </c>
      <c r="O140" s="71">
        <f t="shared" si="58"/>
        <v>155.5</v>
      </c>
      <c r="P140" s="27"/>
      <c r="Q140" s="71">
        <f t="shared" si="59"/>
        <v>9071.7</v>
      </c>
      <c r="R140" s="71"/>
      <c r="S140" s="71">
        <f t="shared" si="59"/>
        <v>8916.2</v>
      </c>
      <c r="T140" s="71">
        <f t="shared" si="59"/>
        <v>155.5</v>
      </c>
      <c r="U140" s="27"/>
      <c r="V140" s="71"/>
      <c r="W140" s="27"/>
    </row>
    <row r="141" spans="1:23" ht="12.75">
      <c r="A141" s="27" t="s">
        <v>6</v>
      </c>
      <c r="B141" s="29" t="s">
        <v>1</v>
      </c>
      <c r="C141" s="51" t="s">
        <v>2</v>
      </c>
      <c r="D141" s="51" t="s">
        <v>368</v>
      </c>
      <c r="E141" s="51">
        <v>12</v>
      </c>
      <c r="F141" s="50"/>
      <c r="G141" s="27">
        <f t="shared" si="58"/>
        <v>9071.7</v>
      </c>
      <c r="H141" s="27"/>
      <c r="I141" s="27">
        <f t="shared" si="58"/>
        <v>8916.2</v>
      </c>
      <c r="J141" s="27">
        <f t="shared" si="58"/>
        <v>155.5</v>
      </c>
      <c r="K141" s="27"/>
      <c r="L141" s="27">
        <f t="shared" si="58"/>
        <v>9071.7</v>
      </c>
      <c r="M141" s="27"/>
      <c r="N141" s="27">
        <f t="shared" si="58"/>
        <v>8916.2</v>
      </c>
      <c r="O141" s="71">
        <f t="shared" si="58"/>
        <v>155.5</v>
      </c>
      <c r="P141" s="27"/>
      <c r="Q141" s="71">
        <f t="shared" si="59"/>
        <v>9071.7</v>
      </c>
      <c r="R141" s="71"/>
      <c r="S141" s="71">
        <f t="shared" si="59"/>
        <v>8916.2</v>
      </c>
      <c r="T141" s="71">
        <f t="shared" si="59"/>
        <v>155.5</v>
      </c>
      <c r="U141" s="27"/>
      <c r="V141" s="71"/>
      <c r="W141" s="27"/>
    </row>
    <row r="142" spans="1:23" ht="12.75">
      <c r="A142" s="29" t="s">
        <v>334</v>
      </c>
      <c r="B142" s="29" t="s">
        <v>1</v>
      </c>
      <c r="C142" s="51" t="s">
        <v>2</v>
      </c>
      <c r="D142" s="51" t="s">
        <v>368</v>
      </c>
      <c r="E142" s="51">
        <v>12</v>
      </c>
      <c r="F142" s="51" t="s">
        <v>335</v>
      </c>
      <c r="G142" s="27">
        <f t="shared" si="58"/>
        <v>9071.7</v>
      </c>
      <c r="H142" s="27"/>
      <c r="I142" s="27">
        <f t="shared" si="58"/>
        <v>8916.2</v>
      </c>
      <c r="J142" s="27">
        <f t="shared" si="58"/>
        <v>155.5</v>
      </c>
      <c r="K142" s="27"/>
      <c r="L142" s="27">
        <f t="shared" si="58"/>
        <v>9071.7</v>
      </c>
      <c r="M142" s="27"/>
      <c r="N142" s="27">
        <f t="shared" si="58"/>
        <v>8916.2</v>
      </c>
      <c r="O142" s="71">
        <f t="shared" si="58"/>
        <v>155.5</v>
      </c>
      <c r="P142" s="27"/>
      <c r="Q142" s="71">
        <f t="shared" si="59"/>
        <v>9071.7</v>
      </c>
      <c r="R142" s="71"/>
      <c r="S142" s="71">
        <f t="shared" si="59"/>
        <v>8916.2</v>
      </c>
      <c r="T142" s="71">
        <f t="shared" si="59"/>
        <v>155.5</v>
      </c>
      <c r="U142" s="27"/>
      <c r="V142" s="71"/>
      <c r="W142" s="27"/>
    </row>
    <row r="143" spans="1:23" s="70" customFormat="1" ht="12.75">
      <c r="A143" s="216" t="s">
        <v>336</v>
      </c>
      <c r="B143" s="216" t="s">
        <v>1</v>
      </c>
      <c r="C143" s="215" t="s">
        <v>2</v>
      </c>
      <c r="D143" s="215" t="s">
        <v>368</v>
      </c>
      <c r="E143" s="215">
        <v>12</v>
      </c>
      <c r="F143" s="215" t="s">
        <v>335</v>
      </c>
      <c r="G143" s="71">
        <f>SUM(I143+J143)</f>
        <v>9071.7</v>
      </c>
      <c r="H143" s="71"/>
      <c r="I143" s="216">
        <f>SUM('522 60 00'!H13)</f>
        <v>8916.2</v>
      </c>
      <c r="J143" s="216">
        <f>SUM('522 60 00'!I13)</f>
        <v>155.5</v>
      </c>
      <c r="K143" s="71"/>
      <c r="L143" s="71">
        <f>SUM(N143+O143)</f>
        <v>9071.7</v>
      </c>
      <c r="M143" s="71"/>
      <c r="N143" s="216">
        <f>SUM('522 60 00'!L13)</f>
        <v>8916.2</v>
      </c>
      <c r="O143" s="216">
        <f>SUM('522 60 00'!M13)</f>
        <v>155.5</v>
      </c>
      <c r="P143" s="216"/>
      <c r="Q143" s="71">
        <f>SUM(S143+T143)</f>
        <v>9071.7</v>
      </c>
      <c r="R143" s="71"/>
      <c r="S143" s="216">
        <f>SUM('522 60 00'!O13)</f>
        <v>8916.2</v>
      </c>
      <c r="T143" s="216">
        <f>SUM('522 60 00'!P13)</f>
        <v>155.5</v>
      </c>
      <c r="U143" s="216"/>
      <c r="V143" s="71"/>
      <c r="W143" s="71"/>
    </row>
    <row r="144" spans="1:23" ht="27">
      <c r="A144" s="59" t="s">
        <v>178</v>
      </c>
      <c r="B144" s="30" t="s">
        <v>1</v>
      </c>
      <c r="C144" s="47" t="s">
        <v>179</v>
      </c>
      <c r="D144" s="28"/>
      <c r="E144" s="56"/>
      <c r="F144" s="56"/>
      <c r="G144" s="28">
        <f t="shared" si="58"/>
        <v>103814.00000000001</v>
      </c>
      <c r="H144" s="28"/>
      <c r="I144" s="28">
        <f t="shared" si="58"/>
        <v>103814.00000000001</v>
      </c>
      <c r="J144" s="28">
        <f t="shared" si="58"/>
        <v>0</v>
      </c>
      <c r="K144" s="28"/>
      <c r="L144" s="28">
        <f t="shared" si="58"/>
        <v>98538.09999999999</v>
      </c>
      <c r="M144" s="28"/>
      <c r="N144" s="28">
        <f t="shared" si="58"/>
        <v>98538.09999999999</v>
      </c>
      <c r="O144" s="28">
        <f t="shared" si="58"/>
        <v>0</v>
      </c>
      <c r="P144" s="28"/>
      <c r="Q144" s="75">
        <f t="shared" si="59"/>
        <v>98538.09999999999</v>
      </c>
      <c r="R144" s="75"/>
      <c r="S144" s="75">
        <f t="shared" si="59"/>
        <v>98538.09999999999</v>
      </c>
      <c r="T144" s="28">
        <f t="shared" si="59"/>
        <v>0</v>
      </c>
      <c r="U144" s="28"/>
      <c r="V144" s="75">
        <f>N144/I144*100</f>
        <v>94.91793014429652</v>
      </c>
      <c r="W144" s="28">
        <f>(Q144/L144)*100</f>
        <v>100</v>
      </c>
    </row>
    <row r="145" spans="1:23" ht="12.75">
      <c r="A145" s="27" t="s">
        <v>5</v>
      </c>
      <c r="B145" s="29" t="s">
        <v>1</v>
      </c>
      <c r="C145" s="51" t="s">
        <v>179</v>
      </c>
      <c r="D145" s="51" t="s">
        <v>368</v>
      </c>
      <c r="E145" s="50"/>
      <c r="F145" s="50"/>
      <c r="G145" s="27">
        <f t="shared" si="58"/>
        <v>103814.00000000001</v>
      </c>
      <c r="H145" s="27"/>
      <c r="I145" s="27">
        <f t="shared" si="58"/>
        <v>103814.00000000001</v>
      </c>
      <c r="J145" s="27">
        <f t="shared" si="58"/>
        <v>0</v>
      </c>
      <c r="K145" s="27"/>
      <c r="L145" s="27">
        <f t="shared" si="58"/>
        <v>98538.09999999999</v>
      </c>
      <c r="M145" s="27"/>
      <c r="N145" s="27">
        <f t="shared" si="58"/>
        <v>98538.09999999999</v>
      </c>
      <c r="O145" s="27">
        <f t="shared" si="58"/>
        <v>0</v>
      </c>
      <c r="P145" s="27"/>
      <c r="Q145" s="71">
        <f t="shared" si="59"/>
        <v>98538.09999999999</v>
      </c>
      <c r="R145" s="71"/>
      <c r="S145" s="71">
        <f t="shared" si="59"/>
        <v>98538.09999999999</v>
      </c>
      <c r="T145" s="27">
        <f t="shared" si="59"/>
        <v>0</v>
      </c>
      <c r="U145" s="27"/>
      <c r="V145" s="71"/>
      <c r="W145" s="27"/>
    </row>
    <row r="146" spans="1:23" ht="12.75">
      <c r="A146" s="27" t="s">
        <v>6</v>
      </c>
      <c r="B146" s="29" t="s">
        <v>1</v>
      </c>
      <c r="C146" s="51" t="s">
        <v>179</v>
      </c>
      <c r="D146" s="51" t="s">
        <v>368</v>
      </c>
      <c r="E146" s="51">
        <v>12</v>
      </c>
      <c r="F146" s="50"/>
      <c r="G146" s="27">
        <f t="shared" si="58"/>
        <v>103814.00000000001</v>
      </c>
      <c r="H146" s="27"/>
      <c r="I146" s="27">
        <f t="shared" si="58"/>
        <v>103814.00000000001</v>
      </c>
      <c r="J146" s="27">
        <f t="shared" si="58"/>
        <v>0</v>
      </c>
      <c r="K146" s="27"/>
      <c r="L146" s="27">
        <f t="shared" si="58"/>
        <v>98538.09999999999</v>
      </c>
      <c r="M146" s="27"/>
      <c r="N146" s="27">
        <f t="shared" si="58"/>
        <v>98538.09999999999</v>
      </c>
      <c r="O146" s="27">
        <f t="shared" si="58"/>
        <v>0</v>
      </c>
      <c r="P146" s="27"/>
      <c r="Q146" s="71">
        <f t="shared" si="59"/>
        <v>98538.09999999999</v>
      </c>
      <c r="R146" s="71"/>
      <c r="S146" s="71">
        <f t="shared" si="59"/>
        <v>98538.09999999999</v>
      </c>
      <c r="T146" s="27">
        <f t="shared" si="59"/>
        <v>0</v>
      </c>
      <c r="U146" s="27"/>
      <c r="V146" s="71"/>
      <c r="W146" s="27"/>
    </row>
    <row r="147" spans="1:23" ht="12.75">
      <c r="A147" s="29" t="s">
        <v>58</v>
      </c>
      <c r="B147" s="29" t="s">
        <v>1</v>
      </c>
      <c r="C147" s="51" t="s">
        <v>179</v>
      </c>
      <c r="D147" s="51" t="s">
        <v>368</v>
      </c>
      <c r="E147" s="51">
        <v>12</v>
      </c>
      <c r="F147" s="51" t="s">
        <v>2</v>
      </c>
      <c r="G147" s="27">
        <f>I147+J147</f>
        <v>103814.00000000001</v>
      </c>
      <c r="H147" s="27"/>
      <c r="I147" s="27">
        <f>'522 60 00'!H17</f>
        <v>103814.00000000001</v>
      </c>
      <c r="J147" s="27">
        <v>0</v>
      </c>
      <c r="K147" s="27"/>
      <c r="L147" s="27">
        <f>N147+O147</f>
        <v>98538.09999999999</v>
      </c>
      <c r="M147" s="27"/>
      <c r="N147" s="27">
        <f>'522 60 00'!L17</f>
        <v>98538.09999999999</v>
      </c>
      <c r="O147" s="27">
        <v>0</v>
      </c>
      <c r="P147" s="27"/>
      <c r="Q147" s="71">
        <f>S147+T147</f>
        <v>98538.09999999999</v>
      </c>
      <c r="R147" s="71"/>
      <c r="S147" s="71">
        <f>'522 60 00'!O17</f>
        <v>98538.09999999999</v>
      </c>
      <c r="T147" s="27">
        <v>0</v>
      </c>
      <c r="U147" s="27"/>
      <c r="V147" s="71"/>
      <c r="W147" s="27"/>
    </row>
    <row r="148" spans="1:23" ht="51">
      <c r="A148" s="209" t="s">
        <v>3</v>
      </c>
      <c r="B148" s="84" t="s">
        <v>4</v>
      </c>
      <c r="C148" s="174"/>
      <c r="D148" s="82"/>
      <c r="E148" s="174"/>
      <c r="F148" s="174"/>
      <c r="G148" s="84">
        <f>I148+J148+K148</f>
        <v>451586.00000000006</v>
      </c>
      <c r="H148" s="84"/>
      <c r="I148" s="84">
        <f>I150+I154+I161</f>
        <v>440243.30000000005</v>
      </c>
      <c r="J148" s="84">
        <f aca="true" t="shared" si="60" ref="J148:U148">J150+J154+J161</f>
        <v>892.7</v>
      </c>
      <c r="K148" s="84">
        <f t="shared" si="60"/>
        <v>10450</v>
      </c>
      <c r="L148" s="84">
        <f>N148+O148+P148</f>
        <v>382262.5</v>
      </c>
      <c r="M148" s="84"/>
      <c r="N148" s="84">
        <f t="shared" si="60"/>
        <v>381724.6</v>
      </c>
      <c r="O148" s="84">
        <f t="shared" si="60"/>
        <v>537.9000000000001</v>
      </c>
      <c r="P148" s="84">
        <f t="shared" si="60"/>
        <v>0</v>
      </c>
      <c r="Q148" s="84">
        <f>S148+T148+U148</f>
        <v>381626.89999999997</v>
      </c>
      <c r="R148" s="84"/>
      <c r="S148" s="84">
        <f t="shared" si="60"/>
        <v>381088.99999999994</v>
      </c>
      <c r="T148" s="84">
        <f t="shared" si="60"/>
        <v>537.9000000000001</v>
      </c>
      <c r="U148" s="84">
        <f t="shared" si="60"/>
        <v>0</v>
      </c>
      <c r="V148" s="84">
        <f>N148/I148*100</f>
        <v>86.70764552237364</v>
      </c>
      <c r="W148" s="84">
        <f>(Q148/L148)*100</f>
        <v>99.83372682384486</v>
      </c>
    </row>
    <row r="149" spans="1:23" s="89" customFormat="1" ht="12.75">
      <c r="A149" s="192" t="s">
        <v>139</v>
      </c>
      <c r="B149" s="135"/>
      <c r="C149" s="152"/>
      <c r="D149" s="135"/>
      <c r="E149" s="152"/>
      <c r="F149" s="152"/>
      <c r="G149" s="135"/>
      <c r="H149" s="135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>
        <f>'522 61 00'!Q9</f>
        <v>29017</v>
      </c>
      <c r="T149" s="156"/>
      <c r="U149" s="156">
        <f>'522 61 00'!S9</f>
        <v>0</v>
      </c>
      <c r="V149" s="156"/>
      <c r="W149" s="135"/>
    </row>
    <row r="150" spans="1:23" ht="27">
      <c r="A150" s="48" t="s">
        <v>22</v>
      </c>
      <c r="B150" s="27" t="s">
        <v>4</v>
      </c>
      <c r="C150" s="51" t="s">
        <v>333</v>
      </c>
      <c r="D150" s="27"/>
      <c r="E150" s="50"/>
      <c r="F150" s="50"/>
      <c r="G150" s="28">
        <f>I150+J150+K150</f>
        <v>69226.2</v>
      </c>
      <c r="H150" s="28"/>
      <c r="I150" s="75">
        <f aca="true" t="shared" si="61" ref="G150:U152">SUM(I151)</f>
        <v>59226.2</v>
      </c>
      <c r="J150" s="75">
        <f t="shared" si="61"/>
        <v>0</v>
      </c>
      <c r="K150" s="75">
        <f t="shared" si="61"/>
        <v>10000</v>
      </c>
      <c r="L150" s="28">
        <f>N150+O150+P150</f>
        <v>39239.2</v>
      </c>
      <c r="M150" s="28"/>
      <c r="N150" s="75">
        <f t="shared" si="61"/>
        <v>39239.2</v>
      </c>
      <c r="O150" s="75">
        <f t="shared" si="61"/>
        <v>0</v>
      </c>
      <c r="P150" s="75">
        <f t="shared" si="61"/>
        <v>0</v>
      </c>
      <c r="Q150" s="28">
        <f>S150+T150+U150</f>
        <v>43651.4</v>
      </c>
      <c r="R150" s="28"/>
      <c r="S150" s="75">
        <f t="shared" si="61"/>
        <v>43651.4</v>
      </c>
      <c r="T150" s="75">
        <f t="shared" si="61"/>
        <v>0</v>
      </c>
      <c r="U150" s="75">
        <f t="shared" si="61"/>
        <v>0</v>
      </c>
      <c r="V150" s="75">
        <f>N150/I150*100</f>
        <v>66.25311095427361</v>
      </c>
      <c r="W150" s="28">
        <f>S150/N150*100</f>
        <v>111.24436787702095</v>
      </c>
    </row>
    <row r="151" spans="1:23" ht="12.75">
      <c r="A151" s="27" t="s">
        <v>5</v>
      </c>
      <c r="B151" s="27" t="s">
        <v>4</v>
      </c>
      <c r="C151" s="51" t="s">
        <v>333</v>
      </c>
      <c r="D151" s="51" t="s">
        <v>368</v>
      </c>
      <c r="E151" s="50"/>
      <c r="F151" s="50"/>
      <c r="G151" s="27">
        <f t="shared" si="61"/>
        <v>59226.2</v>
      </c>
      <c r="H151" s="27"/>
      <c r="I151" s="71">
        <f t="shared" si="61"/>
        <v>59226.2</v>
      </c>
      <c r="J151" s="71">
        <f t="shared" si="61"/>
        <v>0</v>
      </c>
      <c r="K151" s="71">
        <f t="shared" si="61"/>
        <v>10000</v>
      </c>
      <c r="L151" s="71">
        <f t="shared" si="61"/>
        <v>39239.2</v>
      </c>
      <c r="M151" s="71"/>
      <c r="N151" s="71">
        <f t="shared" si="61"/>
        <v>39239.2</v>
      </c>
      <c r="O151" s="71">
        <f t="shared" si="61"/>
        <v>0</v>
      </c>
      <c r="P151" s="71">
        <f t="shared" si="61"/>
        <v>0</v>
      </c>
      <c r="Q151" s="71">
        <f aca="true" t="shared" si="62" ref="Q151:U152">SUM(Q152)</f>
        <v>43651.4</v>
      </c>
      <c r="R151" s="71"/>
      <c r="S151" s="71">
        <f t="shared" si="62"/>
        <v>43651.4</v>
      </c>
      <c r="T151" s="71">
        <f t="shared" si="62"/>
        <v>0</v>
      </c>
      <c r="U151" s="71">
        <f t="shared" si="62"/>
        <v>0</v>
      </c>
      <c r="V151" s="71"/>
      <c r="W151" s="27"/>
    </row>
    <row r="152" spans="1:23" ht="12.75">
      <c r="A152" s="29" t="s">
        <v>6</v>
      </c>
      <c r="B152" s="27" t="s">
        <v>4</v>
      </c>
      <c r="C152" s="51" t="s">
        <v>333</v>
      </c>
      <c r="D152" s="51" t="s">
        <v>368</v>
      </c>
      <c r="E152" s="51" t="s">
        <v>366</v>
      </c>
      <c r="F152" s="50"/>
      <c r="G152" s="27">
        <f t="shared" si="61"/>
        <v>59226.2</v>
      </c>
      <c r="H152" s="27"/>
      <c r="I152" s="71">
        <f t="shared" si="61"/>
        <v>59226.2</v>
      </c>
      <c r="J152" s="71">
        <f t="shared" si="61"/>
        <v>0</v>
      </c>
      <c r="K152" s="71">
        <f t="shared" si="61"/>
        <v>10000</v>
      </c>
      <c r="L152" s="71">
        <f t="shared" si="61"/>
        <v>39239.2</v>
      </c>
      <c r="M152" s="71"/>
      <c r="N152" s="71">
        <f t="shared" si="61"/>
        <v>39239.2</v>
      </c>
      <c r="O152" s="71">
        <f t="shared" si="61"/>
        <v>0</v>
      </c>
      <c r="P152" s="71">
        <f t="shared" si="61"/>
        <v>0</v>
      </c>
      <c r="Q152" s="71">
        <f t="shared" si="62"/>
        <v>43651.4</v>
      </c>
      <c r="R152" s="71"/>
      <c r="S152" s="71">
        <f t="shared" si="62"/>
        <v>43651.4</v>
      </c>
      <c r="T152" s="71">
        <f t="shared" si="62"/>
        <v>0</v>
      </c>
      <c r="U152" s="71">
        <f t="shared" si="62"/>
        <v>0</v>
      </c>
      <c r="V152" s="71"/>
      <c r="W152" s="27"/>
    </row>
    <row r="153" spans="1:23" ht="12.75">
      <c r="A153" s="220" t="s">
        <v>86</v>
      </c>
      <c r="B153" s="27" t="s">
        <v>4</v>
      </c>
      <c r="C153" s="51" t="s">
        <v>333</v>
      </c>
      <c r="D153" s="51" t="s">
        <v>368</v>
      </c>
      <c r="E153" s="51" t="s">
        <v>366</v>
      </c>
      <c r="F153" s="51" t="s">
        <v>87</v>
      </c>
      <c r="G153" s="27">
        <f>SUM(I153+J153)</f>
        <v>59226.2</v>
      </c>
      <c r="H153" s="27"/>
      <c r="I153" s="71">
        <f>SUM('522 61 00'!H13)</f>
        <v>59226.2</v>
      </c>
      <c r="J153" s="71">
        <f>SUM('522 61 00'!I13)</f>
        <v>0</v>
      </c>
      <c r="K153" s="71">
        <f>'522 61 00'!J10</f>
        <v>10000</v>
      </c>
      <c r="L153" s="71">
        <f>SUM(N153+O153)</f>
        <v>39239.2</v>
      </c>
      <c r="M153" s="71"/>
      <c r="N153" s="71">
        <f>SUM('522 61 00'!M13)</f>
        <v>39239.2</v>
      </c>
      <c r="O153" s="71">
        <f>SUM('522 61 00'!N13)</f>
        <v>0</v>
      </c>
      <c r="P153" s="71">
        <f>SUM('522 61 00'!O13)</f>
        <v>0</v>
      </c>
      <c r="Q153" s="71">
        <f>SUM(S153+T153)</f>
        <v>43651.4</v>
      </c>
      <c r="R153" s="71"/>
      <c r="S153" s="71">
        <f>SUM('522 61 00'!Q13)</f>
        <v>43651.4</v>
      </c>
      <c r="T153" s="71">
        <f>SUM('522 61 00'!R13)</f>
        <v>0</v>
      </c>
      <c r="U153" s="71">
        <f>SUM('522 61 00'!S13)</f>
        <v>0</v>
      </c>
      <c r="V153" s="71">
        <f>N153/I153*100</f>
        <v>66.25311095427361</v>
      </c>
      <c r="W153" s="27">
        <f>S153/N153*100</f>
        <v>111.24436787702095</v>
      </c>
    </row>
    <row r="154" spans="1:23" ht="40.5">
      <c r="A154" s="48" t="s">
        <v>324</v>
      </c>
      <c r="B154" s="27" t="s">
        <v>4</v>
      </c>
      <c r="C154" s="51" t="s">
        <v>325</v>
      </c>
      <c r="D154" s="27"/>
      <c r="E154" s="50"/>
      <c r="F154" s="50"/>
      <c r="G154" s="28">
        <f aca="true" t="shared" si="63" ref="G154:O155">SUM(G155)</f>
        <v>38117.9</v>
      </c>
      <c r="H154" s="28"/>
      <c r="I154" s="28">
        <f t="shared" si="63"/>
        <v>37827.9</v>
      </c>
      <c r="J154" s="28">
        <f t="shared" si="63"/>
        <v>290</v>
      </c>
      <c r="K154" s="28"/>
      <c r="L154" s="28">
        <f t="shared" si="63"/>
        <v>7779.099999999999</v>
      </c>
      <c r="M154" s="28"/>
      <c r="N154" s="28">
        <f t="shared" si="63"/>
        <v>7771.9</v>
      </c>
      <c r="O154" s="75">
        <f t="shared" si="63"/>
        <v>7.2</v>
      </c>
      <c r="P154" s="75"/>
      <c r="Q154" s="75">
        <f aca="true" t="shared" si="64" ref="Q154:T155">SUM(Q155)</f>
        <v>7779.099999999999</v>
      </c>
      <c r="R154" s="75"/>
      <c r="S154" s="75">
        <f t="shared" si="64"/>
        <v>7771.9</v>
      </c>
      <c r="T154" s="75">
        <f t="shared" si="64"/>
        <v>7.2</v>
      </c>
      <c r="U154" s="75"/>
      <c r="V154" s="75">
        <f>N154/I154*100</f>
        <v>20.545417535734206</v>
      </c>
      <c r="W154" s="28">
        <f>S154/N154*100</f>
        <v>100</v>
      </c>
    </row>
    <row r="155" spans="1:23" ht="12.75">
      <c r="A155" s="27" t="s">
        <v>5</v>
      </c>
      <c r="B155" s="27" t="s">
        <v>4</v>
      </c>
      <c r="C155" s="51" t="s">
        <v>325</v>
      </c>
      <c r="D155" s="51" t="s">
        <v>368</v>
      </c>
      <c r="E155" s="50"/>
      <c r="F155" s="50"/>
      <c r="G155" s="27">
        <f t="shared" si="63"/>
        <v>38117.9</v>
      </c>
      <c r="H155" s="27"/>
      <c r="I155" s="27">
        <f t="shared" si="63"/>
        <v>37827.9</v>
      </c>
      <c r="J155" s="27">
        <f t="shared" si="63"/>
        <v>290</v>
      </c>
      <c r="K155" s="27"/>
      <c r="L155" s="27">
        <f t="shared" si="63"/>
        <v>7779.099999999999</v>
      </c>
      <c r="M155" s="27"/>
      <c r="N155" s="27">
        <f t="shared" si="63"/>
        <v>7771.9</v>
      </c>
      <c r="O155" s="71">
        <f t="shared" si="63"/>
        <v>7.2</v>
      </c>
      <c r="P155" s="71"/>
      <c r="Q155" s="71">
        <f t="shared" si="64"/>
        <v>7779.099999999999</v>
      </c>
      <c r="R155" s="71"/>
      <c r="S155" s="71">
        <f t="shared" si="64"/>
        <v>7771.9</v>
      </c>
      <c r="T155" s="71">
        <f t="shared" si="64"/>
        <v>7.2</v>
      </c>
      <c r="U155" s="71"/>
      <c r="V155" s="71"/>
      <c r="W155" s="27"/>
    </row>
    <row r="156" spans="1:23" ht="12.75">
      <c r="A156" s="27" t="s">
        <v>8</v>
      </c>
      <c r="B156" s="27" t="s">
        <v>4</v>
      </c>
      <c r="C156" s="51" t="s">
        <v>325</v>
      </c>
      <c r="D156" s="51" t="s">
        <v>368</v>
      </c>
      <c r="E156" s="51" t="s">
        <v>360</v>
      </c>
      <c r="F156" s="51"/>
      <c r="G156" s="27">
        <f aca="true" t="shared" si="65" ref="G156:O156">SUM(G158+G160)</f>
        <v>38117.9</v>
      </c>
      <c r="H156" s="27"/>
      <c r="I156" s="27">
        <f t="shared" si="65"/>
        <v>37827.9</v>
      </c>
      <c r="J156" s="27">
        <f t="shared" si="65"/>
        <v>290</v>
      </c>
      <c r="K156" s="27"/>
      <c r="L156" s="27">
        <f t="shared" si="65"/>
        <v>7779.099999999999</v>
      </c>
      <c r="M156" s="27"/>
      <c r="N156" s="27">
        <f t="shared" si="65"/>
        <v>7771.9</v>
      </c>
      <c r="O156" s="71">
        <f t="shared" si="65"/>
        <v>7.2</v>
      </c>
      <c r="P156" s="71"/>
      <c r="Q156" s="71">
        <f>SUM(Q158+Q160)</f>
        <v>7779.099999999999</v>
      </c>
      <c r="R156" s="71"/>
      <c r="S156" s="71">
        <f>SUM(S158+S160)</f>
        <v>7771.9</v>
      </c>
      <c r="T156" s="71">
        <f>SUM(T158+T160)</f>
        <v>7.2</v>
      </c>
      <c r="U156" s="71"/>
      <c r="V156" s="71"/>
      <c r="W156" s="27"/>
    </row>
    <row r="157" spans="1:23" ht="12.75">
      <c r="A157" s="220" t="s">
        <v>354</v>
      </c>
      <c r="B157" s="27" t="s">
        <v>4</v>
      </c>
      <c r="C157" s="51" t="s">
        <v>325</v>
      </c>
      <c r="D157" s="51" t="s">
        <v>368</v>
      </c>
      <c r="E157" s="51" t="s">
        <v>360</v>
      </c>
      <c r="F157" s="51" t="s">
        <v>355</v>
      </c>
      <c r="G157" s="27">
        <f aca="true" t="shared" si="66" ref="G157:O157">SUM(G158)</f>
        <v>9114.5</v>
      </c>
      <c r="H157" s="27"/>
      <c r="I157" s="27">
        <f t="shared" si="66"/>
        <v>9114.5</v>
      </c>
      <c r="J157" s="27">
        <f t="shared" si="66"/>
        <v>0</v>
      </c>
      <c r="K157" s="27"/>
      <c r="L157" s="27">
        <f t="shared" si="66"/>
        <v>7054.4</v>
      </c>
      <c r="M157" s="27"/>
      <c r="N157" s="27">
        <f t="shared" si="66"/>
        <v>7054.4</v>
      </c>
      <c r="O157" s="71">
        <f t="shared" si="66"/>
        <v>0</v>
      </c>
      <c r="P157" s="71"/>
      <c r="Q157" s="71">
        <f>SUM(Q158)</f>
        <v>7054.4</v>
      </c>
      <c r="R157" s="71"/>
      <c r="S157" s="71">
        <f>SUM(S158)</f>
        <v>7054.4</v>
      </c>
      <c r="T157" s="71">
        <f>SUM(T158)</f>
        <v>0</v>
      </c>
      <c r="U157" s="71"/>
      <c r="V157" s="71">
        <f>N157/I157*100</f>
        <v>77.3975533490592</v>
      </c>
      <c r="W157" s="27">
        <f>S157/N157*100</f>
        <v>100</v>
      </c>
    </row>
    <row r="158" spans="1:23" ht="25.5">
      <c r="A158" s="29" t="s">
        <v>61</v>
      </c>
      <c r="B158" s="27" t="s">
        <v>4</v>
      </c>
      <c r="C158" s="51" t="s">
        <v>325</v>
      </c>
      <c r="D158" s="51" t="s">
        <v>368</v>
      </c>
      <c r="E158" s="51" t="s">
        <v>360</v>
      </c>
      <c r="F158" s="51" t="s">
        <v>355</v>
      </c>
      <c r="G158" s="27">
        <f>SUM(I158+J158)</f>
        <v>9114.5</v>
      </c>
      <c r="H158" s="27"/>
      <c r="I158" s="27">
        <f>SUM('522 61 00'!H22)</f>
        <v>9114.5</v>
      </c>
      <c r="J158" s="27">
        <f>SUM('522 61 00'!I22)</f>
        <v>0</v>
      </c>
      <c r="K158" s="27"/>
      <c r="L158" s="27">
        <f>SUM(N158+O158)</f>
        <v>7054.4</v>
      </c>
      <c r="M158" s="27"/>
      <c r="N158" s="27">
        <f>'522 61 00'!M22</f>
        <v>7054.4</v>
      </c>
      <c r="O158" s="71">
        <f>SUM('522 61 00'!N22)</f>
        <v>0</v>
      </c>
      <c r="P158" s="71"/>
      <c r="Q158" s="71">
        <f>SUM(S158+T158)</f>
        <v>7054.4</v>
      </c>
      <c r="R158" s="71"/>
      <c r="S158" s="71">
        <f>'522 61 00'!Q22</f>
        <v>7054.4</v>
      </c>
      <c r="T158" s="71">
        <f>SUM('522 61 00'!R22)</f>
        <v>0</v>
      </c>
      <c r="U158" s="71"/>
      <c r="V158" s="71"/>
      <c r="W158" s="27"/>
    </row>
    <row r="159" spans="1:23" ht="12.75">
      <c r="A159" s="29" t="s">
        <v>334</v>
      </c>
      <c r="B159" s="27" t="s">
        <v>4</v>
      </c>
      <c r="C159" s="51" t="s">
        <v>325</v>
      </c>
      <c r="D159" s="51" t="s">
        <v>368</v>
      </c>
      <c r="E159" s="51" t="s">
        <v>360</v>
      </c>
      <c r="F159" s="51" t="s">
        <v>335</v>
      </c>
      <c r="G159" s="27">
        <f aca="true" t="shared" si="67" ref="G159:O159">SUM(G160)</f>
        <v>29003.4</v>
      </c>
      <c r="H159" s="27"/>
      <c r="I159" s="27">
        <f t="shared" si="67"/>
        <v>28713.4</v>
      </c>
      <c r="J159" s="27">
        <f t="shared" si="67"/>
        <v>290</v>
      </c>
      <c r="K159" s="27"/>
      <c r="L159" s="27">
        <f t="shared" si="67"/>
        <v>724.7</v>
      </c>
      <c r="M159" s="27"/>
      <c r="N159" s="27">
        <f t="shared" si="67"/>
        <v>717.5</v>
      </c>
      <c r="O159" s="71">
        <f t="shared" si="67"/>
        <v>7.2</v>
      </c>
      <c r="P159" s="71"/>
      <c r="Q159" s="71">
        <f>SUM(Q160)</f>
        <v>724.7</v>
      </c>
      <c r="R159" s="71"/>
      <c r="S159" s="71">
        <f>SUM(S160)</f>
        <v>717.5</v>
      </c>
      <c r="T159" s="71">
        <f>SUM(T160)</f>
        <v>7.2</v>
      </c>
      <c r="U159" s="71"/>
      <c r="V159" s="71">
        <f>N159/I159*100</f>
        <v>2.4988332973454903</v>
      </c>
      <c r="W159" s="27">
        <f>S159/N159*100</f>
        <v>100</v>
      </c>
    </row>
    <row r="160" spans="1:23" s="70" customFormat="1" ht="12.75">
      <c r="A160" s="216" t="s">
        <v>336</v>
      </c>
      <c r="B160" s="71" t="s">
        <v>4</v>
      </c>
      <c r="C160" s="215" t="s">
        <v>325</v>
      </c>
      <c r="D160" s="215" t="s">
        <v>368</v>
      </c>
      <c r="E160" s="215" t="s">
        <v>360</v>
      </c>
      <c r="F160" s="215" t="s">
        <v>335</v>
      </c>
      <c r="G160" s="71">
        <f>SUM(I160+J160)</f>
        <v>29003.4</v>
      </c>
      <c r="H160" s="71"/>
      <c r="I160" s="71">
        <f>SUM('522 61 00'!H27)</f>
        <v>28713.4</v>
      </c>
      <c r="J160" s="71">
        <f>SUM('522 61 00'!I27)</f>
        <v>290</v>
      </c>
      <c r="K160" s="71"/>
      <c r="L160" s="71">
        <f>SUM(N160+O160)</f>
        <v>724.7</v>
      </c>
      <c r="M160" s="71"/>
      <c r="N160" s="71">
        <f>SUM('522 61 00'!M27)</f>
        <v>717.5</v>
      </c>
      <c r="O160" s="71">
        <f>SUM('522 61 00'!N27)</f>
        <v>7.2</v>
      </c>
      <c r="P160" s="71"/>
      <c r="Q160" s="71">
        <f>SUM(S160+T160)</f>
        <v>724.7</v>
      </c>
      <c r="R160" s="71"/>
      <c r="S160" s="71">
        <f>SUM('522 61 00'!Q27)</f>
        <v>717.5</v>
      </c>
      <c r="T160" s="71">
        <f>SUM('522 61 00'!R27)</f>
        <v>7.2</v>
      </c>
      <c r="U160" s="71"/>
      <c r="V160" s="71"/>
      <c r="W160" s="27"/>
    </row>
    <row r="161" spans="1:23" ht="27">
      <c r="A161" s="48" t="s">
        <v>64</v>
      </c>
      <c r="B161" s="27" t="s">
        <v>4</v>
      </c>
      <c r="C161" s="51" t="s">
        <v>7</v>
      </c>
      <c r="D161" s="27"/>
      <c r="E161" s="50"/>
      <c r="F161" s="50"/>
      <c r="G161" s="28">
        <f>I161+J161+K161</f>
        <v>344241.9</v>
      </c>
      <c r="H161" s="28"/>
      <c r="I161" s="28">
        <f>SUM(I163+I168)</f>
        <v>343189.2</v>
      </c>
      <c r="J161" s="28">
        <f>SUM(J163+J168)</f>
        <v>602.7</v>
      </c>
      <c r="K161" s="28">
        <f>K162</f>
        <v>450</v>
      </c>
      <c r="L161" s="28">
        <f>N161+O161+P161</f>
        <v>335244.2</v>
      </c>
      <c r="M161" s="28"/>
      <c r="N161" s="28">
        <f>SUM(N163+N168)</f>
        <v>334713.5</v>
      </c>
      <c r="O161" s="28">
        <f>SUM(O163+O168)</f>
        <v>530.7</v>
      </c>
      <c r="P161" s="28">
        <f>P162</f>
        <v>0</v>
      </c>
      <c r="Q161" s="28">
        <f>S161+T161+U161</f>
        <v>330196.39999999997</v>
      </c>
      <c r="R161" s="28"/>
      <c r="S161" s="28">
        <f>SUM(S163+S168)</f>
        <v>329665.69999999995</v>
      </c>
      <c r="T161" s="28">
        <f>SUM(T163+T168)</f>
        <v>530.7</v>
      </c>
      <c r="U161" s="28">
        <f>U162</f>
        <v>0</v>
      </c>
      <c r="V161" s="75">
        <f>N161/I161*100</f>
        <v>97.53031272545873</v>
      </c>
      <c r="W161" s="28">
        <f>S161/N161*100</f>
        <v>98.49190427036852</v>
      </c>
    </row>
    <row r="162" spans="1:23" ht="12.75">
      <c r="A162" s="27" t="s">
        <v>5</v>
      </c>
      <c r="B162" s="27" t="s">
        <v>4</v>
      </c>
      <c r="C162" s="51" t="s">
        <v>7</v>
      </c>
      <c r="D162" s="51" t="s">
        <v>368</v>
      </c>
      <c r="E162" s="51"/>
      <c r="F162" s="51"/>
      <c r="G162" s="27">
        <f>I162+J162+K162</f>
        <v>344241.9</v>
      </c>
      <c r="H162" s="27"/>
      <c r="I162" s="27">
        <f>I163+I168</f>
        <v>343189.2</v>
      </c>
      <c r="J162" s="27">
        <f>J163+J168</f>
        <v>602.7</v>
      </c>
      <c r="K162" s="27">
        <f>K163+K168</f>
        <v>450</v>
      </c>
      <c r="L162" s="27">
        <f>N162+O162</f>
        <v>335244.2</v>
      </c>
      <c r="M162" s="27"/>
      <c r="N162" s="27">
        <f>N163+N168</f>
        <v>334713.5</v>
      </c>
      <c r="O162" s="71">
        <f>O163+O168</f>
        <v>530.7</v>
      </c>
      <c r="P162" s="71"/>
      <c r="Q162" s="71">
        <f>S162+T162</f>
        <v>330196.39999999997</v>
      </c>
      <c r="R162" s="71"/>
      <c r="S162" s="71">
        <f>S163+S168</f>
        <v>329665.69999999995</v>
      </c>
      <c r="T162" s="71">
        <f>T163+T168</f>
        <v>530.7</v>
      </c>
      <c r="U162" s="71"/>
      <c r="V162" s="71"/>
      <c r="W162" s="27"/>
    </row>
    <row r="163" spans="1:23" ht="12.75">
      <c r="A163" s="27" t="s">
        <v>8</v>
      </c>
      <c r="B163" s="27" t="s">
        <v>4</v>
      </c>
      <c r="C163" s="51" t="s">
        <v>7</v>
      </c>
      <c r="D163" s="51" t="s">
        <v>368</v>
      </c>
      <c r="E163" s="51" t="s">
        <v>360</v>
      </c>
      <c r="F163" s="50"/>
      <c r="G163" s="27">
        <f>SUM(I163+J163)</f>
        <v>189234.7</v>
      </c>
      <c r="H163" s="27"/>
      <c r="I163" s="27">
        <f>I164+I165+I167</f>
        <v>188632</v>
      </c>
      <c r="J163" s="27">
        <f>SUM(J164+J165)</f>
        <v>602.7</v>
      </c>
      <c r="K163" s="27"/>
      <c r="L163" s="27">
        <f>L164+L165+L167</f>
        <v>180688.3</v>
      </c>
      <c r="M163" s="27"/>
      <c r="N163" s="27">
        <f>N164+N165+N167</f>
        <v>180157.59999999998</v>
      </c>
      <c r="O163" s="71">
        <f>SUM(O164+O165)</f>
        <v>530.7</v>
      </c>
      <c r="P163" s="71"/>
      <c r="Q163" s="71">
        <f>S163+T163</f>
        <v>175640.5</v>
      </c>
      <c r="R163" s="71"/>
      <c r="S163" s="27">
        <f>S164+S165+S167</f>
        <v>175109.8</v>
      </c>
      <c r="T163" s="71">
        <f>SUM(T164+T165)</f>
        <v>530.7</v>
      </c>
      <c r="U163" s="71"/>
      <c r="V163" s="71"/>
      <c r="W163" s="27"/>
    </row>
    <row r="164" spans="1:23" ht="12.75">
      <c r="A164" s="220" t="s">
        <v>354</v>
      </c>
      <c r="B164" s="27" t="s">
        <v>4</v>
      </c>
      <c r="C164" s="51" t="s">
        <v>7</v>
      </c>
      <c r="D164" s="51" t="s">
        <v>368</v>
      </c>
      <c r="E164" s="51" t="s">
        <v>360</v>
      </c>
      <c r="F164" s="51" t="s">
        <v>355</v>
      </c>
      <c r="G164" s="27">
        <f>SUM(I164+J164)</f>
        <v>3199.5</v>
      </c>
      <c r="H164" s="27"/>
      <c r="I164" s="27">
        <f>'522 61 00'!H34</f>
        <v>3199.5</v>
      </c>
      <c r="J164" s="27">
        <v>0</v>
      </c>
      <c r="K164" s="27"/>
      <c r="L164" s="27">
        <f>N164</f>
        <v>2559.6</v>
      </c>
      <c r="M164" s="27"/>
      <c r="N164" s="27">
        <f>'522 61 00'!M34</f>
        <v>2559.6</v>
      </c>
      <c r="O164" s="71">
        <v>0</v>
      </c>
      <c r="P164" s="71"/>
      <c r="Q164" s="71">
        <f>S164</f>
        <v>2559.6</v>
      </c>
      <c r="R164" s="71"/>
      <c r="S164" s="71">
        <f>'522 61 00'!Q34</f>
        <v>2559.6</v>
      </c>
      <c r="T164" s="71">
        <v>0</v>
      </c>
      <c r="U164" s="71"/>
      <c r="V164" s="71">
        <f>N164/I164*100</f>
        <v>80</v>
      </c>
      <c r="W164" s="27">
        <f>S164/N164*100</f>
        <v>100</v>
      </c>
    </row>
    <row r="165" spans="1:23" ht="12.75">
      <c r="A165" s="29" t="s">
        <v>334</v>
      </c>
      <c r="B165" s="27" t="s">
        <v>4</v>
      </c>
      <c r="C165" s="51" t="s">
        <v>7</v>
      </c>
      <c r="D165" s="51" t="s">
        <v>368</v>
      </c>
      <c r="E165" s="51" t="s">
        <v>360</v>
      </c>
      <c r="F165" s="51" t="s">
        <v>335</v>
      </c>
      <c r="G165" s="27">
        <f>SUM(I165+J165)</f>
        <v>60271.99999999999</v>
      </c>
      <c r="H165" s="27"/>
      <c r="I165" s="27">
        <f aca="true" t="shared" si="68" ref="I165:O165">SUM(I166)</f>
        <v>59669.299999999996</v>
      </c>
      <c r="J165" s="27">
        <f t="shared" si="68"/>
        <v>602.7</v>
      </c>
      <c r="K165" s="27"/>
      <c r="L165" s="27">
        <f t="shared" si="68"/>
        <v>58123.799999999996</v>
      </c>
      <c r="M165" s="27"/>
      <c r="N165" s="27">
        <f t="shared" si="68"/>
        <v>57593.1</v>
      </c>
      <c r="O165" s="71">
        <f t="shared" si="68"/>
        <v>530.7</v>
      </c>
      <c r="P165" s="71"/>
      <c r="Q165" s="71">
        <f>SUM(Q166)</f>
        <v>53076</v>
      </c>
      <c r="R165" s="71"/>
      <c r="S165" s="71">
        <f>SUM(S166)</f>
        <v>52545.3</v>
      </c>
      <c r="T165" s="71">
        <f>SUM(T166)</f>
        <v>530.7</v>
      </c>
      <c r="U165" s="71"/>
      <c r="V165" s="71">
        <f>N165/I165*100</f>
        <v>96.52048876055191</v>
      </c>
      <c r="W165" s="27">
        <f>S165/N165*100</f>
        <v>91.23540840829892</v>
      </c>
    </row>
    <row r="166" spans="1:23" s="70" customFormat="1" ht="12.75">
      <c r="A166" s="216" t="s">
        <v>336</v>
      </c>
      <c r="B166" s="71" t="s">
        <v>4</v>
      </c>
      <c r="C166" s="215" t="s">
        <v>7</v>
      </c>
      <c r="D166" s="215" t="s">
        <v>368</v>
      </c>
      <c r="E166" s="215" t="s">
        <v>360</v>
      </c>
      <c r="F166" s="215" t="s">
        <v>335</v>
      </c>
      <c r="G166" s="71">
        <f>SUM(I166+J166)</f>
        <v>60271.99999999999</v>
      </c>
      <c r="H166" s="71"/>
      <c r="I166" s="71">
        <f>SUM('522 61 00'!H37)</f>
        <v>59669.299999999996</v>
      </c>
      <c r="J166" s="71">
        <f>SUM('522 61 00'!I37)</f>
        <v>602.7</v>
      </c>
      <c r="K166" s="71"/>
      <c r="L166" s="71">
        <f>SUM(N166+O166)</f>
        <v>58123.799999999996</v>
      </c>
      <c r="M166" s="71"/>
      <c r="N166" s="71">
        <f>SUM('522 61 00'!M37)</f>
        <v>57593.1</v>
      </c>
      <c r="O166" s="71">
        <f>SUM('522 61 00'!N37)</f>
        <v>530.7</v>
      </c>
      <c r="P166" s="71"/>
      <c r="Q166" s="71">
        <f>SUM(S166+T166)</f>
        <v>53076</v>
      </c>
      <c r="R166" s="71"/>
      <c r="S166" s="71">
        <f>SUM('522 61 00'!Q37)</f>
        <v>52545.3</v>
      </c>
      <c r="T166" s="71">
        <f>SUM('522 61 00'!R37)</f>
        <v>530.7</v>
      </c>
      <c r="U166" s="71"/>
      <c r="V166" s="71"/>
      <c r="W166" s="27"/>
    </row>
    <row r="167" spans="1:23" ht="25.5">
      <c r="A167" s="29" t="s">
        <v>125</v>
      </c>
      <c r="B167" s="27" t="s">
        <v>4</v>
      </c>
      <c r="C167" s="51" t="s">
        <v>7</v>
      </c>
      <c r="D167" s="51" t="s">
        <v>368</v>
      </c>
      <c r="E167" s="51" t="s">
        <v>360</v>
      </c>
      <c r="F167" s="51" t="s">
        <v>88</v>
      </c>
      <c r="G167" s="27">
        <f>I167</f>
        <v>125763.2</v>
      </c>
      <c r="H167" s="27"/>
      <c r="I167" s="27">
        <f>'522 61 00'!H55</f>
        <v>125763.2</v>
      </c>
      <c r="J167" s="27">
        <v>0</v>
      </c>
      <c r="K167" s="27"/>
      <c r="L167" s="27">
        <f>N167</f>
        <v>120004.9</v>
      </c>
      <c r="M167" s="27"/>
      <c r="N167" s="27">
        <f>'522 61 00'!M55</f>
        <v>120004.9</v>
      </c>
      <c r="O167" s="71">
        <v>0</v>
      </c>
      <c r="P167" s="71"/>
      <c r="Q167" s="71">
        <f>S167</f>
        <v>120004.9</v>
      </c>
      <c r="R167" s="71"/>
      <c r="S167" s="71">
        <f>'522 61 00'!Q55</f>
        <v>120004.9</v>
      </c>
      <c r="T167" s="71">
        <v>0</v>
      </c>
      <c r="U167" s="71"/>
      <c r="V167" s="71">
        <f>N167/I167*100</f>
        <v>95.42131561537875</v>
      </c>
      <c r="W167" s="27">
        <f>S167/N167*100</f>
        <v>100</v>
      </c>
    </row>
    <row r="168" spans="1:23" ht="12.75">
      <c r="A168" s="58" t="s">
        <v>6</v>
      </c>
      <c r="B168" s="27" t="s">
        <v>4</v>
      </c>
      <c r="C168" s="51" t="s">
        <v>7</v>
      </c>
      <c r="D168" s="51" t="s">
        <v>368</v>
      </c>
      <c r="E168" s="51" t="s">
        <v>366</v>
      </c>
      <c r="F168" s="51"/>
      <c r="G168" s="27">
        <f>J168+I168+K168</f>
        <v>155007.2</v>
      </c>
      <c r="H168" s="27"/>
      <c r="I168" s="27">
        <f aca="true" t="shared" si="69" ref="I168:T168">I169+I170</f>
        <v>154557.2</v>
      </c>
      <c r="J168" s="27">
        <f t="shared" si="69"/>
        <v>0</v>
      </c>
      <c r="K168" s="27">
        <f>K169</f>
        <v>450</v>
      </c>
      <c r="L168" s="27">
        <f t="shared" si="69"/>
        <v>154555.9</v>
      </c>
      <c r="M168" s="27"/>
      <c r="N168" s="27">
        <f t="shared" si="69"/>
        <v>154555.9</v>
      </c>
      <c r="O168" s="71">
        <f t="shared" si="69"/>
        <v>0</v>
      </c>
      <c r="P168" s="71"/>
      <c r="Q168" s="71">
        <f t="shared" si="69"/>
        <v>154555.9</v>
      </c>
      <c r="R168" s="71"/>
      <c r="S168" s="71">
        <f t="shared" si="69"/>
        <v>154555.9</v>
      </c>
      <c r="T168" s="71">
        <f t="shared" si="69"/>
        <v>0</v>
      </c>
      <c r="U168" s="71"/>
      <c r="V168" s="71"/>
      <c r="W168" s="27"/>
    </row>
    <row r="169" spans="1:23" ht="12.75">
      <c r="A169" s="27" t="s">
        <v>58</v>
      </c>
      <c r="B169" s="27" t="s">
        <v>4</v>
      </c>
      <c r="C169" s="51" t="s">
        <v>7</v>
      </c>
      <c r="D169" s="51" t="s">
        <v>368</v>
      </c>
      <c r="E169" s="51" t="s">
        <v>366</v>
      </c>
      <c r="F169" s="51" t="s">
        <v>2</v>
      </c>
      <c r="G169" s="27">
        <f>J169+I169</f>
        <v>148802.1</v>
      </c>
      <c r="H169" s="27"/>
      <c r="I169" s="27">
        <f>'522 61 00'!H57</f>
        <v>148802.1</v>
      </c>
      <c r="J169" s="27">
        <f>'522 61 00'!I58</f>
        <v>0</v>
      </c>
      <c r="K169" s="27">
        <f>'522 61 00'!J58</f>
        <v>450</v>
      </c>
      <c r="L169" s="27">
        <f>SUM(N169+O169)</f>
        <v>148802.1</v>
      </c>
      <c r="M169" s="27"/>
      <c r="N169" s="27">
        <f>'522 61 00'!M57</f>
        <v>148802.1</v>
      </c>
      <c r="O169" s="71">
        <v>0</v>
      </c>
      <c r="P169" s="71"/>
      <c r="Q169" s="71">
        <f>SUM(S169+T169)</f>
        <v>148802.1</v>
      </c>
      <c r="R169" s="71"/>
      <c r="S169" s="71">
        <f>'522 61 00'!Q57</f>
        <v>148802.1</v>
      </c>
      <c r="T169" s="71">
        <v>0</v>
      </c>
      <c r="U169" s="71"/>
      <c r="V169" s="71">
        <f>N169/I169*100</f>
        <v>100</v>
      </c>
      <c r="W169" s="27">
        <f>S169/N169*100</f>
        <v>100</v>
      </c>
    </row>
    <row r="170" spans="1:23" ht="12.75">
      <c r="A170" s="27" t="s">
        <v>345</v>
      </c>
      <c r="B170" s="27" t="s">
        <v>4</v>
      </c>
      <c r="C170" s="51" t="s">
        <v>7</v>
      </c>
      <c r="D170" s="51" t="s">
        <v>368</v>
      </c>
      <c r="E170" s="51" t="s">
        <v>366</v>
      </c>
      <c r="F170" s="51" t="s">
        <v>346</v>
      </c>
      <c r="G170" s="27">
        <f>SUM(I170+J170)</f>
        <v>5755.1</v>
      </c>
      <c r="H170" s="27"/>
      <c r="I170" s="27">
        <f>SUM('522 61 00'!H62)</f>
        <v>5755.1</v>
      </c>
      <c r="J170" s="27">
        <f>SUM('522 61 00'!I62)</f>
        <v>0</v>
      </c>
      <c r="K170" s="27">
        <v>0</v>
      </c>
      <c r="L170" s="27">
        <f>SUM(N170+O170)</f>
        <v>5753.8</v>
      </c>
      <c r="M170" s="27"/>
      <c r="N170" s="27">
        <f>SUM('522 61 00'!M62)</f>
        <v>5753.8</v>
      </c>
      <c r="O170" s="71">
        <f>SUM('522 61 00'!N62)</f>
        <v>0</v>
      </c>
      <c r="P170" s="71"/>
      <c r="Q170" s="71">
        <f>SUM(S170+T170)</f>
        <v>5753.8</v>
      </c>
      <c r="R170" s="71"/>
      <c r="S170" s="71">
        <f>SUM('522 61 00'!Q62)</f>
        <v>5753.8</v>
      </c>
      <c r="T170" s="71">
        <f>SUM('522 61 00'!R62)</f>
        <v>0</v>
      </c>
      <c r="U170" s="71"/>
      <c r="V170" s="71">
        <f>N170/I170*100</f>
        <v>99.97741133950755</v>
      </c>
      <c r="W170" s="27">
        <f>S170/N170*100</f>
        <v>100</v>
      </c>
    </row>
    <row r="171" spans="1:23" ht="63.75">
      <c r="A171" s="209" t="s">
        <v>126</v>
      </c>
      <c r="B171" s="229" t="s">
        <v>127</v>
      </c>
      <c r="C171" s="230"/>
      <c r="D171" s="84"/>
      <c r="E171" s="230"/>
      <c r="F171" s="230"/>
      <c r="G171" s="84">
        <f>G172</f>
        <v>17940.899999999998</v>
      </c>
      <c r="H171" s="84"/>
      <c r="I171" s="84">
        <f>I172</f>
        <v>17402.699999999997</v>
      </c>
      <c r="J171" s="84">
        <f aca="true" t="shared" si="70" ref="J171:T171">J172</f>
        <v>538.1999999999999</v>
      </c>
      <c r="K171" s="84"/>
      <c r="L171" s="84">
        <f t="shared" si="70"/>
        <v>16731.5</v>
      </c>
      <c r="M171" s="84"/>
      <c r="N171" s="84">
        <f t="shared" si="70"/>
        <v>16459</v>
      </c>
      <c r="O171" s="84">
        <f t="shared" si="70"/>
        <v>272.5</v>
      </c>
      <c r="P171" s="84"/>
      <c r="Q171" s="84">
        <f t="shared" si="70"/>
        <v>8987.4</v>
      </c>
      <c r="R171" s="84"/>
      <c r="S171" s="84">
        <f t="shared" si="70"/>
        <v>8717.8</v>
      </c>
      <c r="T171" s="84">
        <f t="shared" si="70"/>
        <v>269.6</v>
      </c>
      <c r="U171" s="84"/>
      <c r="V171" s="84">
        <f>N171/I171*100</f>
        <v>94.57727823843427</v>
      </c>
      <c r="W171" s="84">
        <f>S171/N171*100</f>
        <v>52.96676590315329</v>
      </c>
    </row>
    <row r="172" spans="1:23" ht="40.5">
      <c r="A172" s="48" t="s">
        <v>324</v>
      </c>
      <c r="B172" s="27" t="s">
        <v>127</v>
      </c>
      <c r="C172" s="49" t="s">
        <v>325</v>
      </c>
      <c r="D172" s="27"/>
      <c r="E172" s="50"/>
      <c r="F172" s="50"/>
      <c r="G172" s="75">
        <f>G173</f>
        <v>17940.899999999998</v>
      </c>
      <c r="H172" s="75"/>
      <c r="I172" s="75">
        <f aca="true" t="shared" si="71" ref="I172:T174">I173</f>
        <v>17402.699999999997</v>
      </c>
      <c r="J172" s="75">
        <f t="shared" si="71"/>
        <v>538.1999999999999</v>
      </c>
      <c r="K172" s="75"/>
      <c r="L172" s="75">
        <f t="shared" si="71"/>
        <v>16731.5</v>
      </c>
      <c r="M172" s="75"/>
      <c r="N172" s="75">
        <f t="shared" si="71"/>
        <v>16459</v>
      </c>
      <c r="O172" s="75">
        <f t="shared" si="71"/>
        <v>272.5</v>
      </c>
      <c r="P172" s="75"/>
      <c r="Q172" s="75">
        <f t="shared" si="71"/>
        <v>8987.4</v>
      </c>
      <c r="R172" s="75"/>
      <c r="S172" s="75">
        <f t="shared" si="71"/>
        <v>8717.8</v>
      </c>
      <c r="T172" s="75">
        <f t="shared" si="71"/>
        <v>269.6</v>
      </c>
      <c r="U172" s="75"/>
      <c r="V172" s="71">
        <f>N172/I172*100</f>
        <v>94.57727823843427</v>
      </c>
      <c r="W172" s="27"/>
    </row>
    <row r="173" spans="1:23" ht="12.75">
      <c r="A173" s="27" t="s">
        <v>361</v>
      </c>
      <c r="B173" s="27" t="s">
        <v>127</v>
      </c>
      <c r="C173" s="49" t="s">
        <v>325</v>
      </c>
      <c r="D173" s="51" t="s">
        <v>360</v>
      </c>
      <c r="E173" s="50"/>
      <c r="F173" s="50"/>
      <c r="G173" s="71">
        <f>G174</f>
        <v>17940.899999999998</v>
      </c>
      <c r="H173" s="71"/>
      <c r="I173" s="71">
        <f t="shared" si="71"/>
        <v>17402.699999999997</v>
      </c>
      <c r="J173" s="71">
        <f t="shared" si="71"/>
        <v>538.1999999999999</v>
      </c>
      <c r="K173" s="71"/>
      <c r="L173" s="71">
        <f t="shared" si="71"/>
        <v>16731.5</v>
      </c>
      <c r="M173" s="71"/>
      <c r="N173" s="71">
        <f t="shared" si="71"/>
        <v>16459</v>
      </c>
      <c r="O173" s="71">
        <f t="shared" si="71"/>
        <v>272.5</v>
      </c>
      <c r="P173" s="71"/>
      <c r="Q173" s="71">
        <f t="shared" si="71"/>
        <v>8987.4</v>
      </c>
      <c r="R173" s="71"/>
      <c r="S173" s="71">
        <f t="shared" si="71"/>
        <v>8717.8</v>
      </c>
      <c r="T173" s="71">
        <f t="shared" si="71"/>
        <v>269.6</v>
      </c>
      <c r="U173" s="71"/>
      <c r="V173" s="71"/>
      <c r="W173" s="27"/>
    </row>
    <row r="174" spans="1:23" ht="12.75">
      <c r="A174" s="27" t="s">
        <v>362</v>
      </c>
      <c r="B174" s="27" t="s">
        <v>127</v>
      </c>
      <c r="C174" s="49" t="s">
        <v>325</v>
      </c>
      <c r="D174" s="51" t="s">
        <v>360</v>
      </c>
      <c r="E174" s="51" t="s">
        <v>353</v>
      </c>
      <c r="F174" s="50"/>
      <c r="G174" s="71">
        <f>G175</f>
        <v>17940.899999999998</v>
      </c>
      <c r="H174" s="71"/>
      <c r="I174" s="71">
        <f t="shared" si="71"/>
        <v>17402.699999999997</v>
      </c>
      <c r="J174" s="71">
        <f t="shared" si="71"/>
        <v>538.1999999999999</v>
      </c>
      <c r="K174" s="71"/>
      <c r="L174" s="71">
        <f t="shared" si="71"/>
        <v>16731.5</v>
      </c>
      <c r="M174" s="71"/>
      <c r="N174" s="71">
        <f t="shared" si="71"/>
        <v>16459</v>
      </c>
      <c r="O174" s="71">
        <f t="shared" si="71"/>
        <v>272.5</v>
      </c>
      <c r="P174" s="71"/>
      <c r="Q174" s="71">
        <f t="shared" si="71"/>
        <v>8987.4</v>
      </c>
      <c r="R174" s="71"/>
      <c r="S174" s="71">
        <f t="shared" si="71"/>
        <v>8717.8</v>
      </c>
      <c r="T174" s="71">
        <f t="shared" si="71"/>
        <v>269.6</v>
      </c>
      <c r="U174" s="71"/>
      <c r="V174" s="71"/>
      <c r="W174" s="27"/>
    </row>
    <row r="175" spans="1:23" ht="12.75">
      <c r="A175" s="29" t="s">
        <v>23</v>
      </c>
      <c r="B175" s="27" t="s">
        <v>127</v>
      </c>
      <c r="C175" s="49" t="s">
        <v>325</v>
      </c>
      <c r="D175" s="51" t="s">
        <v>360</v>
      </c>
      <c r="E175" s="51" t="s">
        <v>353</v>
      </c>
      <c r="F175" s="51" t="s">
        <v>335</v>
      </c>
      <c r="G175" s="27">
        <f>I175+J175</f>
        <v>17940.899999999998</v>
      </c>
      <c r="H175" s="27"/>
      <c r="I175" s="71">
        <f>I176+I177</f>
        <v>17402.699999999997</v>
      </c>
      <c r="J175" s="71">
        <f>J176+J177</f>
        <v>538.1999999999999</v>
      </c>
      <c r="K175" s="71"/>
      <c r="L175" s="71">
        <f>N175+O175</f>
        <v>16731.5</v>
      </c>
      <c r="M175" s="71"/>
      <c r="N175" s="71">
        <f aca="true" t="shared" si="72" ref="N175:T175">N176+N177</f>
        <v>16459</v>
      </c>
      <c r="O175" s="71">
        <f t="shared" si="72"/>
        <v>272.5</v>
      </c>
      <c r="P175" s="71"/>
      <c r="Q175" s="71">
        <f>S175+T175</f>
        <v>8987.4</v>
      </c>
      <c r="R175" s="71"/>
      <c r="S175" s="71">
        <f t="shared" si="72"/>
        <v>8717.8</v>
      </c>
      <c r="T175" s="71">
        <f t="shared" si="72"/>
        <v>269.6</v>
      </c>
      <c r="U175" s="71"/>
      <c r="V175" s="71">
        <f>N175/I175*100</f>
        <v>94.57727823843427</v>
      </c>
      <c r="W175" s="27"/>
    </row>
    <row r="176" spans="1:23" s="70" customFormat="1" ht="12.75">
      <c r="A176" s="216" t="s">
        <v>136</v>
      </c>
      <c r="B176" s="71" t="s">
        <v>127</v>
      </c>
      <c r="C176" s="214" t="s">
        <v>325</v>
      </c>
      <c r="D176" s="215" t="s">
        <v>360</v>
      </c>
      <c r="E176" s="215" t="s">
        <v>353</v>
      </c>
      <c r="F176" s="215" t="s">
        <v>335</v>
      </c>
      <c r="G176" s="71">
        <f>I176+J176</f>
        <v>297</v>
      </c>
      <c r="H176" s="71"/>
      <c r="I176" s="71">
        <f>'522 66 00'!H13</f>
        <v>288.1</v>
      </c>
      <c r="J176" s="71">
        <f>'522 66 00'!I13</f>
        <v>8.9</v>
      </c>
      <c r="K176" s="71"/>
      <c r="L176" s="71">
        <f>N176+O176</f>
        <v>98.30000000000001</v>
      </c>
      <c r="M176" s="71"/>
      <c r="N176" s="71">
        <f>'522 66 00'!K13</f>
        <v>95.4</v>
      </c>
      <c r="O176" s="71">
        <f>'522 66 00'!L13</f>
        <v>2.9</v>
      </c>
      <c r="P176" s="71"/>
      <c r="Q176" s="71">
        <f>S176+T176</f>
        <v>0</v>
      </c>
      <c r="R176" s="71"/>
      <c r="S176" s="71">
        <f>'522 66 00'!N13</f>
        <v>0</v>
      </c>
      <c r="T176" s="71">
        <f>'522 66 00'!O13</f>
        <v>0</v>
      </c>
      <c r="U176" s="158"/>
      <c r="V176" s="71">
        <f>N176/I176*100</f>
        <v>33.113502256161055</v>
      </c>
      <c r="W176" s="27"/>
    </row>
    <row r="177" spans="1:23" s="70" customFormat="1" ht="12.75">
      <c r="A177" s="216" t="s">
        <v>336</v>
      </c>
      <c r="B177" s="71" t="s">
        <v>127</v>
      </c>
      <c r="C177" s="214" t="s">
        <v>325</v>
      </c>
      <c r="D177" s="215" t="s">
        <v>360</v>
      </c>
      <c r="E177" s="215" t="s">
        <v>353</v>
      </c>
      <c r="F177" s="215" t="s">
        <v>335</v>
      </c>
      <c r="G177" s="71">
        <f>I177+J177</f>
        <v>17643.899999999998</v>
      </c>
      <c r="H177" s="71"/>
      <c r="I177" s="71">
        <f>'522 66 00'!H16</f>
        <v>17114.6</v>
      </c>
      <c r="J177" s="71">
        <f>'522 66 00'!I16</f>
        <v>529.3</v>
      </c>
      <c r="K177" s="71"/>
      <c r="L177" s="71">
        <f>N177+O177</f>
        <v>16633.2</v>
      </c>
      <c r="M177" s="71"/>
      <c r="N177" s="71">
        <f>'522 66 00'!K16</f>
        <v>16363.6</v>
      </c>
      <c r="O177" s="71">
        <f>'522 66 00'!L16</f>
        <v>269.6</v>
      </c>
      <c r="P177" s="71"/>
      <c r="Q177" s="71">
        <f>S177+T177</f>
        <v>8987.4</v>
      </c>
      <c r="R177" s="71"/>
      <c r="S177" s="71">
        <f>'522 66 00'!N16</f>
        <v>8717.8</v>
      </c>
      <c r="T177" s="71">
        <f>'522 66 00'!O16</f>
        <v>269.6</v>
      </c>
      <c r="U177" s="158"/>
      <c r="V177" s="71">
        <f>N177/I177*100</f>
        <v>95.61193367066716</v>
      </c>
      <c r="W177" s="27"/>
    </row>
    <row r="178" spans="1:22" ht="12.75">
      <c r="A178" s="231"/>
      <c r="C178" s="8"/>
      <c r="D178" s="232"/>
      <c r="E178" s="232"/>
      <c r="F178" s="232"/>
      <c r="N178" s="1"/>
      <c r="O178" s="1"/>
      <c r="P178" s="1"/>
      <c r="Q178" s="1"/>
      <c r="R178" s="1"/>
      <c r="S178" s="1"/>
      <c r="T178" s="1"/>
      <c r="U178" s="89"/>
      <c r="V178" s="1"/>
    </row>
    <row r="179" spans="1:22" ht="12.75">
      <c r="A179" s="231"/>
      <c r="C179" s="8"/>
      <c r="D179" s="232"/>
      <c r="E179" s="232"/>
      <c r="F179" s="232"/>
      <c r="N179" s="1"/>
      <c r="O179" s="1"/>
      <c r="P179" s="1"/>
      <c r="Q179" s="1"/>
      <c r="R179" s="1"/>
      <c r="S179" s="1"/>
      <c r="T179" s="1"/>
      <c r="U179" s="89"/>
      <c r="V179" s="1"/>
    </row>
    <row r="180" spans="15:22" ht="12.75">
      <c r="O180" s="89"/>
      <c r="P180" s="89"/>
      <c r="Q180" s="1"/>
      <c r="R180" s="1"/>
      <c r="S180" s="196"/>
      <c r="T180" s="89"/>
      <c r="U180" s="89"/>
      <c r="V180" s="1"/>
    </row>
    <row r="181" spans="15:22" ht="12.75">
      <c r="O181" s="89"/>
      <c r="P181" s="89"/>
      <c r="Q181" s="1"/>
      <c r="R181" s="1"/>
      <c r="S181" s="196"/>
      <c r="T181" s="89"/>
      <c r="U181" s="89"/>
      <c r="V181" s="1"/>
    </row>
    <row r="182" spans="15:22" ht="12.75">
      <c r="O182" s="89"/>
      <c r="P182" s="89"/>
      <c r="Q182" s="1"/>
      <c r="R182" s="1"/>
      <c r="S182" s="196"/>
      <c r="T182" s="89"/>
      <c r="U182" s="89"/>
      <c r="V182" s="1"/>
    </row>
    <row r="183" spans="15:22" ht="12.75">
      <c r="O183" s="89"/>
      <c r="P183" s="89"/>
      <c r="Q183" s="1"/>
      <c r="R183" s="1"/>
      <c r="S183" s="196"/>
      <c r="T183" s="89"/>
      <c r="U183" s="89"/>
      <c r="V183" s="1"/>
    </row>
    <row r="184" spans="15:22" ht="12.75">
      <c r="O184" s="89"/>
      <c r="P184" s="89"/>
      <c r="Q184" s="1"/>
      <c r="R184" s="1"/>
      <c r="S184" s="196"/>
      <c r="T184" s="89"/>
      <c r="U184" s="89"/>
      <c r="V184" s="1"/>
    </row>
    <row r="185" spans="15:22" ht="12.75">
      <c r="O185" s="89"/>
      <c r="P185" s="89"/>
      <c r="Q185" s="1"/>
      <c r="R185" s="1"/>
      <c r="S185" s="196"/>
      <c r="T185" s="89"/>
      <c r="U185" s="89"/>
      <c r="V185" s="1"/>
    </row>
    <row r="186" spans="15:22" ht="12.75">
      <c r="O186" s="89"/>
      <c r="P186" s="89"/>
      <c r="Q186" s="1"/>
      <c r="R186" s="1"/>
      <c r="S186" s="196"/>
      <c r="T186" s="89"/>
      <c r="U186" s="89"/>
      <c r="V186" s="1"/>
    </row>
    <row r="187" spans="15:22" ht="12.75">
      <c r="O187" s="89"/>
      <c r="P187" s="89"/>
      <c r="Q187" s="1"/>
      <c r="R187" s="1"/>
      <c r="S187" s="196"/>
      <c r="T187" s="89"/>
      <c r="U187" s="89"/>
      <c r="V187" s="1"/>
    </row>
    <row r="188" spans="15:22" ht="12.75">
      <c r="O188" s="89"/>
      <c r="P188" s="89"/>
      <c r="Q188" s="1"/>
      <c r="R188" s="1"/>
      <c r="S188" s="196"/>
      <c r="T188" s="89"/>
      <c r="U188" s="89"/>
      <c r="V188" s="1"/>
    </row>
    <row r="189" spans="15:22" ht="12.75">
      <c r="O189" s="89"/>
      <c r="P189" s="89"/>
      <c r="Q189" s="1"/>
      <c r="R189" s="1"/>
      <c r="S189" s="196"/>
      <c r="T189" s="89"/>
      <c r="U189" s="89"/>
      <c r="V189" s="1"/>
    </row>
    <row r="190" spans="15:22" ht="12.75">
      <c r="O190" s="89"/>
      <c r="P190" s="89"/>
      <c r="Q190" s="1"/>
      <c r="R190" s="1"/>
      <c r="S190" s="196"/>
      <c r="T190" s="89"/>
      <c r="U190" s="89"/>
      <c r="V190" s="1"/>
    </row>
    <row r="191" spans="15:22" ht="12.75">
      <c r="O191" s="89"/>
      <c r="P191" s="89"/>
      <c r="Q191" s="1"/>
      <c r="R191" s="1"/>
      <c r="S191" s="196"/>
      <c r="T191" s="89"/>
      <c r="U191" s="89"/>
      <c r="V191" s="1"/>
    </row>
    <row r="192" spans="15:22" ht="12.75">
      <c r="O192" s="89"/>
      <c r="P192" s="89"/>
      <c r="Q192" s="1"/>
      <c r="R192" s="1"/>
      <c r="S192" s="196"/>
      <c r="T192" s="89"/>
      <c r="U192" s="89"/>
      <c r="V192" s="1"/>
    </row>
    <row r="193" spans="15:22" ht="12.75">
      <c r="O193" s="89"/>
      <c r="P193" s="89"/>
      <c r="Q193" s="1"/>
      <c r="R193" s="1"/>
      <c r="S193" s="196"/>
      <c r="T193" s="89"/>
      <c r="U193" s="89"/>
      <c r="V193" s="1"/>
    </row>
    <row r="194" spans="15:22" ht="12.75">
      <c r="O194" s="89"/>
      <c r="P194" s="89"/>
      <c r="Q194" s="1"/>
      <c r="R194" s="1"/>
      <c r="S194" s="196"/>
      <c r="T194" s="89"/>
      <c r="U194" s="89"/>
      <c r="V194" s="1"/>
    </row>
    <row r="195" spans="15:22" ht="12.75">
      <c r="O195" s="89"/>
      <c r="P195" s="89"/>
      <c r="Q195" s="1"/>
      <c r="R195" s="1"/>
      <c r="S195" s="196"/>
      <c r="T195" s="89"/>
      <c r="U195" s="89"/>
      <c r="V195" s="1"/>
    </row>
    <row r="196" spans="15:22" ht="12.75">
      <c r="O196" s="89"/>
      <c r="P196" s="89"/>
      <c r="Q196" s="1"/>
      <c r="R196" s="1"/>
      <c r="S196" s="196"/>
      <c r="T196" s="89"/>
      <c r="U196" s="89"/>
      <c r="V196" s="1"/>
    </row>
    <row r="197" spans="15:22" ht="12.75">
      <c r="O197" s="89"/>
      <c r="P197" s="89"/>
      <c r="Q197" s="1"/>
      <c r="R197" s="1"/>
      <c r="S197" s="196"/>
      <c r="T197" s="89"/>
      <c r="U197" s="89"/>
      <c r="V197" s="1"/>
    </row>
    <row r="198" spans="15:22" ht="12.75">
      <c r="O198" s="89"/>
      <c r="P198" s="89"/>
      <c r="Q198" s="1"/>
      <c r="R198" s="1"/>
      <c r="S198" s="196"/>
      <c r="T198" s="89"/>
      <c r="U198" s="89"/>
      <c r="V198" s="1"/>
    </row>
    <row r="199" spans="15:22" ht="12.75">
      <c r="O199" s="89"/>
      <c r="P199" s="89"/>
      <c r="Q199" s="1"/>
      <c r="R199" s="1"/>
      <c r="S199" s="196"/>
      <c r="T199" s="89"/>
      <c r="U199" s="89"/>
      <c r="V199" s="1"/>
    </row>
    <row r="200" spans="15:22" ht="12.75">
      <c r="O200" s="89"/>
      <c r="P200" s="89"/>
      <c r="Q200" s="1"/>
      <c r="R200" s="1"/>
      <c r="S200" s="196"/>
      <c r="T200" s="89"/>
      <c r="U200" s="89"/>
      <c r="V200" s="1"/>
    </row>
    <row r="201" spans="15:22" ht="12.75">
      <c r="O201" s="89"/>
      <c r="P201" s="89"/>
      <c r="Q201" s="1"/>
      <c r="R201" s="1"/>
      <c r="S201" s="196"/>
      <c r="T201" s="89"/>
      <c r="U201" s="89"/>
      <c r="V201" s="1"/>
    </row>
    <row r="202" spans="15:22" ht="12.75">
      <c r="O202" s="89"/>
      <c r="P202" s="89"/>
      <c r="Q202" s="1"/>
      <c r="R202" s="1"/>
      <c r="S202" s="196"/>
      <c r="T202" s="89"/>
      <c r="U202" s="89"/>
      <c r="V202" s="1"/>
    </row>
    <row r="203" spans="15:22" ht="12.75">
      <c r="O203" s="89"/>
      <c r="P203" s="89"/>
      <c r="Q203" s="1"/>
      <c r="R203" s="1"/>
      <c r="S203" s="196"/>
      <c r="T203" s="89"/>
      <c r="U203" s="89"/>
      <c r="V203" s="1"/>
    </row>
    <row r="204" spans="15:22" ht="12.75">
      <c r="O204" s="89"/>
      <c r="P204" s="89"/>
      <c r="Q204" s="1"/>
      <c r="R204" s="1"/>
      <c r="S204" s="196"/>
      <c r="T204" s="89"/>
      <c r="U204" s="89"/>
      <c r="V204" s="1"/>
    </row>
    <row r="205" spans="15:22" ht="12.75">
      <c r="O205" s="89"/>
      <c r="P205" s="89"/>
      <c r="Q205" s="1"/>
      <c r="R205" s="1"/>
      <c r="S205" s="196"/>
      <c r="T205" s="89"/>
      <c r="U205" s="89"/>
      <c r="V205" s="1"/>
    </row>
    <row r="206" spans="15:22" ht="12.75">
      <c r="O206" s="89"/>
      <c r="P206" s="89"/>
      <c r="Q206" s="1"/>
      <c r="R206" s="1"/>
      <c r="S206" s="196"/>
      <c r="T206" s="89"/>
      <c r="U206" s="89"/>
      <c r="V206" s="1"/>
    </row>
    <row r="207" spans="15:22" ht="12.75">
      <c r="O207" s="89"/>
      <c r="P207" s="89"/>
      <c r="Q207" s="1"/>
      <c r="R207" s="1"/>
      <c r="S207" s="196"/>
      <c r="T207" s="89"/>
      <c r="U207" s="89"/>
      <c r="V207" s="1"/>
    </row>
    <row r="208" spans="15:22" ht="12.75">
      <c r="O208" s="89"/>
      <c r="P208" s="89"/>
      <c r="Q208" s="1"/>
      <c r="R208" s="1"/>
      <c r="S208" s="196"/>
      <c r="T208" s="89"/>
      <c r="U208" s="89"/>
      <c r="V208" s="1"/>
    </row>
    <row r="209" spans="15:22" ht="12.75">
      <c r="O209" s="89"/>
      <c r="P209" s="89"/>
      <c r="Q209" s="1"/>
      <c r="R209" s="1"/>
      <c r="S209" s="196"/>
      <c r="T209" s="89"/>
      <c r="U209" s="89"/>
      <c r="V209" s="1"/>
    </row>
    <row r="210" spans="15:22" ht="12.75">
      <c r="O210" s="89"/>
      <c r="P210" s="89"/>
      <c r="Q210" s="1"/>
      <c r="R210" s="1"/>
      <c r="S210" s="196"/>
      <c r="T210" s="89"/>
      <c r="U210" s="89"/>
      <c r="V210" s="1"/>
    </row>
    <row r="211" spans="15:22" ht="12.75">
      <c r="O211" s="89"/>
      <c r="P211" s="89"/>
      <c r="Q211" s="1"/>
      <c r="R211" s="1"/>
      <c r="S211" s="196"/>
      <c r="T211" s="89"/>
      <c r="U211" s="89"/>
      <c r="V211" s="1"/>
    </row>
    <row r="212" spans="15:22" ht="12.75">
      <c r="O212" s="89"/>
      <c r="P212" s="89"/>
      <c r="Q212" s="1"/>
      <c r="R212" s="1"/>
      <c r="S212" s="196"/>
      <c r="T212" s="89"/>
      <c r="U212" s="89"/>
      <c r="V212" s="1"/>
    </row>
    <row r="213" spans="15:22" ht="12.75">
      <c r="O213" s="89"/>
      <c r="P213" s="89"/>
      <c r="Q213" s="1"/>
      <c r="R213" s="1"/>
      <c r="S213" s="196"/>
      <c r="T213" s="89"/>
      <c r="U213" s="89"/>
      <c r="V213" s="1"/>
    </row>
    <row r="214" spans="15:22" ht="12.75">
      <c r="O214" s="89"/>
      <c r="P214" s="89"/>
      <c r="Q214" s="1"/>
      <c r="R214" s="1"/>
      <c r="S214" s="196"/>
      <c r="T214" s="89"/>
      <c r="U214" s="89"/>
      <c r="V214" s="1"/>
    </row>
    <row r="215" spans="15:22" ht="12.75">
      <c r="O215" s="89"/>
      <c r="P215" s="89"/>
      <c r="Q215" s="1"/>
      <c r="R215" s="1"/>
      <c r="S215" s="196"/>
      <c r="T215" s="89"/>
      <c r="U215" s="89"/>
      <c r="V215" s="1"/>
    </row>
    <row r="216" spans="15:22" ht="12.75">
      <c r="O216" s="89"/>
      <c r="P216" s="89"/>
      <c r="Q216" s="1"/>
      <c r="R216" s="1"/>
      <c r="S216" s="196"/>
      <c r="T216" s="89"/>
      <c r="U216" s="89"/>
      <c r="V216" s="1"/>
    </row>
    <row r="217" spans="15:22" ht="12.75">
      <c r="O217" s="89"/>
      <c r="P217" s="89"/>
      <c r="Q217" s="1"/>
      <c r="R217" s="1"/>
      <c r="S217" s="196"/>
      <c r="T217" s="89"/>
      <c r="U217" s="89"/>
      <c r="V217" s="1"/>
    </row>
    <row r="218" spans="15:22" ht="12.75">
      <c r="O218" s="89"/>
      <c r="P218" s="89"/>
      <c r="Q218" s="1"/>
      <c r="R218" s="1"/>
      <c r="S218" s="196"/>
      <c r="T218" s="89"/>
      <c r="U218" s="89"/>
      <c r="V218" s="1"/>
    </row>
    <row r="219" spans="15:22" ht="12.75">
      <c r="O219" s="89"/>
      <c r="P219" s="89"/>
      <c r="Q219" s="1"/>
      <c r="R219" s="1"/>
      <c r="S219" s="196"/>
      <c r="T219" s="89"/>
      <c r="U219" s="89"/>
      <c r="V219" s="1"/>
    </row>
    <row r="220" spans="15:22" ht="12.75">
      <c r="O220" s="89"/>
      <c r="P220" s="89"/>
      <c r="Q220" s="1"/>
      <c r="R220" s="1"/>
      <c r="S220" s="196"/>
      <c r="T220" s="89"/>
      <c r="U220" s="89"/>
      <c r="V220" s="1"/>
    </row>
    <row r="221" spans="15:22" ht="12.75">
      <c r="O221" s="89"/>
      <c r="P221" s="89"/>
      <c r="Q221" s="1"/>
      <c r="R221" s="1"/>
      <c r="S221" s="196"/>
      <c r="T221" s="89"/>
      <c r="U221" s="89"/>
      <c r="V221" s="1"/>
    </row>
    <row r="222" spans="15:22" ht="12.75">
      <c r="O222" s="89"/>
      <c r="P222" s="89"/>
      <c r="Q222" s="1"/>
      <c r="R222" s="1"/>
      <c r="S222" s="196"/>
      <c r="T222" s="89"/>
      <c r="U222" s="89"/>
      <c r="V222" s="1"/>
    </row>
    <row r="223" spans="15:22" ht="12.75">
      <c r="O223" s="89"/>
      <c r="P223" s="89"/>
      <c r="Q223" s="1"/>
      <c r="R223" s="1"/>
      <c r="S223" s="196"/>
      <c r="T223" s="89"/>
      <c r="U223" s="89"/>
      <c r="V223" s="1"/>
    </row>
    <row r="224" spans="15:22" ht="12.75">
      <c r="O224" s="89"/>
      <c r="P224" s="89"/>
      <c r="Q224" s="1"/>
      <c r="R224" s="1"/>
      <c r="S224" s="196"/>
      <c r="T224" s="89"/>
      <c r="U224" s="89"/>
      <c r="V224" s="1"/>
    </row>
    <row r="225" spans="15:22" ht="12.75">
      <c r="O225" s="89"/>
      <c r="P225" s="89"/>
      <c r="Q225" s="1"/>
      <c r="R225" s="1"/>
      <c r="S225" s="196"/>
      <c r="T225" s="89"/>
      <c r="U225" s="89"/>
      <c r="V225" s="1"/>
    </row>
    <row r="226" spans="15:22" ht="12.75">
      <c r="O226" s="89"/>
      <c r="P226" s="89"/>
      <c r="Q226" s="1"/>
      <c r="R226" s="1"/>
      <c r="S226" s="196"/>
      <c r="T226" s="89"/>
      <c r="U226" s="89"/>
      <c r="V226" s="1"/>
    </row>
    <row r="227" spans="15:22" ht="12.75">
      <c r="O227" s="89"/>
      <c r="P227" s="89"/>
      <c r="Q227" s="1"/>
      <c r="R227" s="1"/>
      <c r="S227" s="196"/>
      <c r="T227" s="89"/>
      <c r="U227" s="89"/>
      <c r="V227" s="1"/>
    </row>
    <row r="228" spans="15:22" ht="12.75">
      <c r="O228" s="89"/>
      <c r="P228" s="89"/>
      <c r="Q228" s="1"/>
      <c r="R228" s="1"/>
      <c r="S228" s="196"/>
      <c r="T228" s="89"/>
      <c r="U228" s="89"/>
      <c r="V228" s="1"/>
    </row>
  </sheetData>
  <mergeCells count="13">
    <mergeCell ref="A4:A6"/>
    <mergeCell ref="B4:B6"/>
    <mergeCell ref="C4:C6"/>
    <mergeCell ref="A1:U1"/>
    <mergeCell ref="A2:U2"/>
    <mergeCell ref="W4:W6"/>
    <mergeCell ref="V4:V6"/>
    <mergeCell ref="D4:D6"/>
    <mergeCell ref="E4:E6"/>
    <mergeCell ref="F4:F6"/>
    <mergeCell ref="I5:K5"/>
    <mergeCell ref="N5:P5"/>
    <mergeCell ref="S5:U5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="90" zoomScaleNormal="90" workbookViewId="0" topLeftCell="A1">
      <selection activeCell="P12" sqref="P12"/>
    </sheetView>
  </sheetViews>
  <sheetFormatPr defaultColWidth="9.00390625" defaultRowHeight="12.75" outlineLevelRow="1"/>
  <cols>
    <col min="1" max="1" width="50.25390625" style="1" customWidth="1"/>
    <col min="2" max="2" width="9.00390625" style="1" customWidth="1"/>
    <col min="3" max="3" width="3.125" style="2" customWidth="1"/>
    <col min="4" max="4" width="3.25390625" style="1" customWidth="1"/>
    <col min="5" max="5" width="3.625" style="2" customWidth="1"/>
    <col min="6" max="6" width="3.75390625" style="2" customWidth="1"/>
    <col min="7" max="7" width="10.625" style="1" customWidth="1"/>
    <col min="8" max="8" width="11.00390625" style="1" customWidth="1"/>
    <col min="9" max="9" width="9.625" style="1" customWidth="1"/>
    <col min="10" max="10" width="8.875" style="1" customWidth="1"/>
    <col min="11" max="11" width="10.875" style="1" customWidth="1"/>
    <col min="12" max="12" width="10.75390625" style="1" customWidth="1"/>
    <col min="13" max="14" width="8.25390625" style="1" customWidth="1"/>
    <col min="15" max="15" width="11.875" style="1" customWidth="1"/>
    <col min="16" max="16" width="10.75390625" style="1" customWidth="1"/>
    <col min="17" max="17" width="11.125" style="1" customWidth="1"/>
    <col min="18" max="18" width="8.125" style="1" customWidth="1"/>
    <col min="19" max="19" width="5.875" style="1" customWidth="1"/>
    <col min="20" max="20" width="5.75390625" style="1" customWidth="1"/>
    <col min="21" max="16384" width="9.125" style="1" customWidth="1"/>
  </cols>
  <sheetData>
    <row r="1" spans="4:10" ht="12.75" outlineLevel="1">
      <c r="D1" s="532" t="s">
        <v>31</v>
      </c>
      <c r="E1" s="532"/>
      <c r="F1" s="532"/>
      <c r="G1" s="532"/>
      <c r="H1" s="532"/>
      <c r="I1" s="532"/>
      <c r="J1" s="532"/>
    </row>
    <row r="2" spans="4:10" ht="12.75" outlineLevel="1">
      <c r="D2" s="532" t="s">
        <v>33</v>
      </c>
      <c r="E2" s="532"/>
      <c r="F2" s="532"/>
      <c r="G2" s="532"/>
      <c r="H2" s="532"/>
      <c r="I2" s="532"/>
      <c r="J2" s="532"/>
    </row>
    <row r="3" ht="12.75" outlineLevel="1">
      <c r="H3" s="17" t="s">
        <v>159</v>
      </c>
    </row>
    <row r="4" spans="11:18" ht="12.75">
      <c r="K4" s="7"/>
      <c r="Q4" s="1" t="s">
        <v>32</v>
      </c>
      <c r="R4" s="1" t="s">
        <v>32</v>
      </c>
    </row>
    <row r="5" spans="1:20" s="290" customFormat="1" ht="17.25" customHeight="1">
      <c r="A5" s="549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530" t="s">
        <v>24</v>
      </c>
      <c r="H5" s="552"/>
      <c r="I5" s="552"/>
      <c r="J5" s="553"/>
      <c r="K5" s="286"/>
      <c r="L5" s="288" t="s">
        <v>25</v>
      </c>
      <c r="M5" s="289"/>
      <c r="N5" s="289"/>
      <c r="O5" s="530" t="s">
        <v>303</v>
      </c>
      <c r="P5" s="531"/>
      <c r="Q5" s="548"/>
      <c r="R5" s="395"/>
      <c r="S5" s="527" t="s">
        <v>66</v>
      </c>
      <c r="T5" s="527" t="s">
        <v>15</v>
      </c>
    </row>
    <row r="6" spans="1:20" s="290" customFormat="1" ht="12.75">
      <c r="A6" s="550"/>
      <c r="B6" s="537"/>
      <c r="C6" s="537"/>
      <c r="D6" s="537"/>
      <c r="E6" s="537"/>
      <c r="F6" s="537"/>
      <c r="G6" s="341"/>
      <c r="H6" s="554" t="s">
        <v>27</v>
      </c>
      <c r="I6" s="552"/>
      <c r="J6" s="553"/>
      <c r="K6" s="341"/>
      <c r="L6" s="286" t="s">
        <v>27</v>
      </c>
      <c r="M6" s="289"/>
      <c r="N6" s="289"/>
      <c r="O6" s="341"/>
      <c r="P6" s="286" t="s">
        <v>27</v>
      </c>
      <c r="Q6" s="289"/>
      <c r="R6" s="289"/>
      <c r="S6" s="528"/>
      <c r="T6" s="528"/>
    </row>
    <row r="7" spans="1:20" s="290" customFormat="1" ht="65.25" customHeight="1">
      <c r="A7" s="551"/>
      <c r="B7" s="538"/>
      <c r="C7" s="538"/>
      <c r="D7" s="538"/>
      <c r="E7" s="538"/>
      <c r="F7" s="538"/>
      <c r="G7" s="41" t="s">
        <v>28</v>
      </c>
      <c r="H7" s="33" t="s">
        <v>29</v>
      </c>
      <c r="I7" s="291" t="s">
        <v>30</v>
      </c>
      <c r="J7" s="291" t="s">
        <v>16</v>
      </c>
      <c r="K7" s="41" t="s">
        <v>28</v>
      </c>
      <c r="L7" s="33" t="s">
        <v>29</v>
      </c>
      <c r="M7" s="291" t="s">
        <v>30</v>
      </c>
      <c r="N7" s="291" t="s">
        <v>36</v>
      </c>
      <c r="O7" s="41" t="s">
        <v>28</v>
      </c>
      <c r="P7" s="33" t="s">
        <v>29</v>
      </c>
      <c r="Q7" s="291" t="s">
        <v>30</v>
      </c>
      <c r="R7" s="291" t="s">
        <v>36</v>
      </c>
      <c r="S7" s="529"/>
      <c r="T7" s="529"/>
    </row>
    <row r="8" spans="1:16" ht="8.25" customHeight="1">
      <c r="A8" s="4"/>
      <c r="B8" s="3"/>
      <c r="C8" s="5"/>
      <c r="D8" s="3"/>
      <c r="E8" s="5"/>
      <c r="F8" s="5"/>
      <c r="G8" s="6"/>
      <c r="H8" s="6"/>
      <c r="K8" s="6"/>
      <c r="L8" s="6"/>
      <c r="O8" s="6"/>
      <c r="P8" s="6"/>
    </row>
    <row r="9" spans="1:20" ht="33" customHeight="1">
      <c r="A9" s="30" t="s">
        <v>313</v>
      </c>
      <c r="B9" s="60" t="s">
        <v>314</v>
      </c>
      <c r="C9" s="47"/>
      <c r="D9" s="47"/>
      <c r="E9" s="47"/>
      <c r="F9" s="47"/>
      <c r="G9" s="28">
        <f aca="true" t="shared" si="0" ref="G9:R9">SUM(G12+G28+G44+G71+G81+G88)</f>
        <v>2341313.6</v>
      </c>
      <c r="H9" s="28">
        <f t="shared" si="0"/>
        <v>2262508</v>
      </c>
      <c r="I9" s="28">
        <f t="shared" si="0"/>
        <v>35978</v>
      </c>
      <c r="J9" s="28">
        <f t="shared" si="0"/>
        <v>42827.6</v>
      </c>
      <c r="K9" s="28">
        <f t="shared" si="0"/>
        <v>1605550.9</v>
      </c>
      <c r="L9" s="28">
        <f t="shared" si="0"/>
        <v>1539885.3</v>
      </c>
      <c r="M9" s="28">
        <f t="shared" si="0"/>
        <v>19163.1</v>
      </c>
      <c r="N9" s="28">
        <f t="shared" si="0"/>
        <v>46502.5</v>
      </c>
      <c r="O9" s="28">
        <f t="shared" si="0"/>
        <v>2074508.3</v>
      </c>
      <c r="P9" s="28">
        <f t="shared" si="0"/>
        <v>1660796.5</v>
      </c>
      <c r="Q9" s="28">
        <f t="shared" si="0"/>
        <v>371479.99999999994</v>
      </c>
      <c r="R9" s="28">
        <f t="shared" si="0"/>
        <v>46502.5</v>
      </c>
      <c r="S9" s="28">
        <f>L9/H9*100</f>
        <v>68.06098807164439</v>
      </c>
      <c r="T9" s="28">
        <f>P9/L9*100</f>
        <v>107.85196144154372</v>
      </c>
    </row>
    <row r="10" spans="1:20" s="247" customFormat="1" ht="12.75" customHeight="1">
      <c r="A10" s="253" t="s">
        <v>196</v>
      </c>
      <c r="B10" s="268"/>
      <c r="C10" s="249"/>
      <c r="D10" s="249"/>
      <c r="E10" s="249"/>
      <c r="F10" s="249"/>
      <c r="G10" s="250"/>
      <c r="H10" s="250"/>
      <c r="I10" s="28"/>
      <c r="J10" s="250"/>
      <c r="K10" s="250"/>
      <c r="L10" s="250"/>
      <c r="M10" s="28"/>
      <c r="N10" s="250"/>
      <c r="O10" s="250">
        <f>P10+Q10</f>
        <v>46436.8</v>
      </c>
      <c r="P10" s="250">
        <f>P13+P29</f>
        <v>45043.700000000004</v>
      </c>
      <c r="Q10" s="250">
        <f>Q13+Q29</f>
        <v>1393.1</v>
      </c>
      <c r="R10" s="250"/>
      <c r="S10" s="250"/>
      <c r="T10" s="250"/>
    </row>
    <row r="11" spans="1:20" s="89" customFormat="1" ht="12.75" customHeight="1">
      <c r="A11" s="254" t="s">
        <v>195</v>
      </c>
      <c r="B11" s="131"/>
      <c r="C11" s="139"/>
      <c r="D11" s="139"/>
      <c r="E11" s="139"/>
      <c r="F11" s="139"/>
      <c r="G11" s="130"/>
      <c r="H11" s="130"/>
      <c r="I11" s="27"/>
      <c r="J11" s="130"/>
      <c r="K11" s="130"/>
      <c r="L11" s="130"/>
      <c r="M11" s="27"/>
      <c r="N11" s="130"/>
      <c r="O11" s="135">
        <f>P11+Q11</f>
        <v>156905.40000000002</v>
      </c>
      <c r="P11" s="135">
        <f>P14+P45</f>
        <v>152214.80000000002</v>
      </c>
      <c r="Q11" s="135">
        <f>Q14+Q45</f>
        <v>4690.6</v>
      </c>
      <c r="R11" s="130"/>
      <c r="S11" s="130"/>
      <c r="T11" s="130"/>
    </row>
    <row r="12" spans="1:20" ht="57.75" customHeight="1">
      <c r="A12" s="173" t="s">
        <v>188</v>
      </c>
      <c r="B12" s="82" t="s">
        <v>315</v>
      </c>
      <c r="C12" s="174"/>
      <c r="D12" s="82"/>
      <c r="E12" s="174"/>
      <c r="F12" s="174"/>
      <c r="G12" s="84">
        <f aca="true" t="shared" si="1" ref="G12:Q12">SUM(G15)</f>
        <v>1065073.1</v>
      </c>
      <c r="H12" s="84">
        <f t="shared" si="1"/>
        <v>1038241.7999999999</v>
      </c>
      <c r="I12" s="84">
        <f t="shared" si="1"/>
        <v>26831.3</v>
      </c>
      <c r="J12" s="84"/>
      <c r="K12" s="84">
        <f t="shared" si="1"/>
        <v>498725.19999999995</v>
      </c>
      <c r="L12" s="84">
        <f t="shared" si="1"/>
        <v>485374.3</v>
      </c>
      <c r="M12" s="84">
        <f t="shared" si="1"/>
        <v>13350.9</v>
      </c>
      <c r="N12" s="84"/>
      <c r="O12" s="84">
        <f t="shared" si="1"/>
        <v>906679.1</v>
      </c>
      <c r="P12" s="84">
        <f t="shared" si="1"/>
        <v>547112</v>
      </c>
      <c r="Q12" s="84">
        <f t="shared" si="1"/>
        <v>363837.79999999993</v>
      </c>
      <c r="R12" s="84"/>
      <c r="S12" s="84">
        <f>L12/H12*100</f>
        <v>46.749639631153364</v>
      </c>
      <c r="T12" s="84">
        <f>(O12/K12)*100</f>
        <v>181.7993355860101</v>
      </c>
    </row>
    <row r="13" spans="1:20" s="89" customFormat="1" ht="12.75" customHeight="1">
      <c r="A13" s="253" t="s">
        <v>196</v>
      </c>
      <c r="B13" s="156"/>
      <c r="C13" s="179"/>
      <c r="D13" s="156"/>
      <c r="E13" s="179"/>
      <c r="F13" s="179"/>
      <c r="G13" s="156"/>
      <c r="H13" s="136"/>
      <c r="I13" s="75"/>
      <c r="J13" s="156"/>
      <c r="K13" s="156"/>
      <c r="L13" s="136"/>
      <c r="M13" s="75"/>
      <c r="N13" s="156"/>
      <c r="O13" s="251">
        <f>P13+Q13</f>
        <v>45042.200000000004</v>
      </c>
      <c r="P13" s="218">
        <f>P27</f>
        <v>43690.9</v>
      </c>
      <c r="Q13" s="250">
        <f>Q27</f>
        <v>1351.3</v>
      </c>
      <c r="R13" s="156"/>
      <c r="S13" s="156"/>
      <c r="T13" s="156"/>
    </row>
    <row r="14" spans="1:20" s="247" customFormat="1" ht="12.75" customHeight="1">
      <c r="A14" s="254" t="s">
        <v>195</v>
      </c>
      <c r="B14" s="251"/>
      <c r="C14" s="394"/>
      <c r="D14" s="251"/>
      <c r="E14" s="394"/>
      <c r="F14" s="394"/>
      <c r="G14" s="251"/>
      <c r="H14" s="218"/>
      <c r="I14" s="75"/>
      <c r="J14" s="251"/>
      <c r="K14" s="251"/>
      <c r="L14" s="218"/>
      <c r="M14" s="75"/>
      <c r="N14" s="251"/>
      <c r="O14" s="156">
        <f>P14+Q14</f>
        <v>97313.5</v>
      </c>
      <c r="P14" s="136">
        <f>P22+P24+P26</f>
        <v>94394.1</v>
      </c>
      <c r="Q14" s="135">
        <f>Q22+Q24+Q26</f>
        <v>2919.4</v>
      </c>
      <c r="R14" s="251"/>
      <c r="S14" s="251"/>
      <c r="T14" s="251"/>
    </row>
    <row r="15" spans="1:20" ht="30.75" customHeight="1">
      <c r="A15" s="30" t="s">
        <v>324</v>
      </c>
      <c r="B15" s="27" t="s">
        <v>315</v>
      </c>
      <c r="C15" s="51" t="s">
        <v>325</v>
      </c>
      <c r="D15" s="27"/>
      <c r="E15" s="50"/>
      <c r="F15" s="50"/>
      <c r="G15" s="28">
        <f aca="true" t="shared" si="2" ref="G15:I16">SUM(G16)</f>
        <v>1065073.1</v>
      </c>
      <c r="H15" s="84">
        <f t="shared" si="2"/>
        <v>1038241.7999999999</v>
      </c>
      <c r="I15" s="28">
        <f t="shared" si="2"/>
        <v>26831.3</v>
      </c>
      <c r="J15" s="28"/>
      <c r="K15" s="28">
        <f aca="true" t="shared" si="3" ref="K15:P15">SUM(K16)</f>
        <v>498725.19999999995</v>
      </c>
      <c r="L15" s="84">
        <f t="shared" si="3"/>
        <v>485374.3</v>
      </c>
      <c r="M15" s="28">
        <f t="shared" si="3"/>
        <v>13350.9</v>
      </c>
      <c r="N15" s="28"/>
      <c r="O15" s="28">
        <f t="shared" si="3"/>
        <v>906679.1</v>
      </c>
      <c r="P15" s="84">
        <f t="shared" si="3"/>
        <v>547112</v>
      </c>
      <c r="Q15" s="28">
        <f aca="true" t="shared" si="4" ref="O15:Q16">SUM(Q16)</f>
        <v>363837.79999999993</v>
      </c>
      <c r="R15" s="28"/>
      <c r="S15" s="28">
        <f aca="true" t="shared" si="5" ref="S15:S21">L15/H15*100</f>
        <v>46.749639631153364</v>
      </c>
      <c r="T15" s="28">
        <f aca="true" t="shared" si="6" ref="T15:T21">(O15/K15)*100</f>
        <v>181.7993355860101</v>
      </c>
    </row>
    <row r="16" spans="1:20" ht="12.75">
      <c r="A16" s="52" t="s">
        <v>361</v>
      </c>
      <c r="B16" s="27" t="s">
        <v>315</v>
      </c>
      <c r="C16" s="49" t="s">
        <v>325</v>
      </c>
      <c r="D16" s="49" t="s">
        <v>360</v>
      </c>
      <c r="E16" s="49"/>
      <c r="F16" s="49"/>
      <c r="G16" s="27">
        <f t="shared" si="2"/>
        <v>1065073.1</v>
      </c>
      <c r="H16" s="82">
        <f t="shared" si="2"/>
        <v>1038241.7999999999</v>
      </c>
      <c r="I16" s="27">
        <f t="shared" si="2"/>
        <v>26831.3</v>
      </c>
      <c r="J16" s="27"/>
      <c r="K16" s="27">
        <f>SUM(K17)</f>
        <v>498725.19999999995</v>
      </c>
      <c r="L16" s="82">
        <f>SUM(L17)</f>
        <v>485374.3</v>
      </c>
      <c r="M16" s="27">
        <f>SUM(M17)</f>
        <v>13350.9</v>
      </c>
      <c r="N16" s="27"/>
      <c r="O16" s="27">
        <f t="shared" si="4"/>
        <v>906679.1</v>
      </c>
      <c r="P16" s="82">
        <f t="shared" si="4"/>
        <v>547112</v>
      </c>
      <c r="Q16" s="27">
        <f t="shared" si="4"/>
        <v>363837.79999999993</v>
      </c>
      <c r="R16" s="27"/>
      <c r="S16" s="27">
        <f t="shared" si="5"/>
        <v>46.749639631153364</v>
      </c>
      <c r="T16" s="27">
        <f t="shared" si="6"/>
        <v>181.7993355860101</v>
      </c>
    </row>
    <row r="17" spans="1:20" ht="12.75">
      <c r="A17" s="52" t="s">
        <v>10</v>
      </c>
      <c r="B17" s="27" t="s">
        <v>315</v>
      </c>
      <c r="C17" s="49" t="s">
        <v>325</v>
      </c>
      <c r="D17" s="49" t="s">
        <v>360</v>
      </c>
      <c r="E17" s="49" t="s">
        <v>347</v>
      </c>
      <c r="F17" s="49"/>
      <c r="G17" s="27">
        <f aca="true" t="shared" si="7" ref="G17:Q17">SUM(G18+G20)</f>
        <v>1065073.1</v>
      </c>
      <c r="H17" s="82">
        <f t="shared" si="7"/>
        <v>1038241.7999999999</v>
      </c>
      <c r="I17" s="27">
        <f t="shared" si="7"/>
        <v>26831.3</v>
      </c>
      <c r="J17" s="27"/>
      <c r="K17" s="27">
        <f t="shared" si="7"/>
        <v>498725.19999999995</v>
      </c>
      <c r="L17" s="82">
        <f t="shared" si="7"/>
        <v>485374.3</v>
      </c>
      <c r="M17" s="27">
        <f t="shared" si="7"/>
        <v>13350.9</v>
      </c>
      <c r="N17" s="27"/>
      <c r="O17" s="27">
        <f t="shared" si="7"/>
        <v>906679.1</v>
      </c>
      <c r="P17" s="82">
        <f t="shared" si="7"/>
        <v>547112</v>
      </c>
      <c r="Q17" s="27">
        <f t="shared" si="7"/>
        <v>363837.79999999993</v>
      </c>
      <c r="R17" s="27"/>
      <c r="S17" s="27">
        <f t="shared" si="5"/>
        <v>46.749639631153364</v>
      </c>
      <c r="T17" s="27">
        <f t="shared" si="6"/>
        <v>181.7993355860101</v>
      </c>
    </row>
    <row r="18" spans="1:20" ht="12.75">
      <c r="A18" s="52" t="s">
        <v>354</v>
      </c>
      <c r="B18" s="27" t="s">
        <v>315</v>
      </c>
      <c r="C18" s="49" t="s">
        <v>325</v>
      </c>
      <c r="D18" s="49" t="s">
        <v>360</v>
      </c>
      <c r="E18" s="49" t="s">
        <v>347</v>
      </c>
      <c r="F18" s="49" t="s">
        <v>355</v>
      </c>
      <c r="G18" s="27">
        <f>SUM(G19)</f>
        <v>170713.4</v>
      </c>
      <c r="H18" s="82">
        <f aca="true" t="shared" si="8" ref="H18:P18">SUM(H19)</f>
        <v>170713.4</v>
      </c>
      <c r="I18" s="27"/>
      <c r="J18" s="27"/>
      <c r="K18" s="27">
        <f t="shared" si="8"/>
        <v>53730.6</v>
      </c>
      <c r="L18" s="82">
        <f t="shared" si="8"/>
        <v>53730.6</v>
      </c>
      <c r="M18" s="27"/>
      <c r="N18" s="27"/>
      <c r="O18" s="27">
        <f t="shared" si="8"/>
        <v>53730.6</v>
      </c>
      <c r="P18" s="82">
        <f t="shared" si="8"/>
        <v>53730.6</v>
      </c>
      <c r="Q18" s="27"/>
      <c r="R18" s="27"/>
      <c r="S18" s="27">
        <f t="shared" si="5"/>
        <v>31.474154928669922</v>
      </c>
      <c r="T18" s="27">
        <f t="shared" si="6"/>
        <v>100</v>
      </c>
    </row>
    <row r="19" spans="1:20" ht="18.75" customHeight="1">
      <c r="A19" s="66" t="s">
        <v>49</v>
      </c>
      <c r="B19" s="68" t="s">
        <v>315</v>
      </c>
      <c r="C19" s="144" t="s">
        <v>325</v>
      </c>
      <c r="D19" s="144" t="s">
        <v>360</v>
      </c>
      <c r="E19" s="144" t="s">
        <v>347</v>
      </c>
      <c r="F19" s="144" t="s">
        <v>355</v>
      </c>
      <c r="G19" s="68">
        <f>SUM(H19+I19)</f>
        <v>170713.4</v>
      </c>
      <c r="H19" s="83">
        <v>170713.4</v>
      </c>
      <c r="I19" s="27"/>
      <c r="J19" s="68"/>
      <c r="K19" s="68">
        <f>SUM(L19+M19)</f>
        <v>53730.6</v>
      </c>
      <c r="L19" s="83">
        <v>53730.6</v>
      </c>
      <c r="M19" s="27"/>
      <c r="N19" s="68"/>
      <c r="O19" s="68">
        <f>SUM(P19+Q19)</f>
        <v>53730.6</v>
      </c>
      <c r="P19" s="83">
        <v>53730.6</v>
      </c>
      <c r="Q19" s="68"/>
      <c r="R19" s="68"/>
      <c r="S19" s="68">
        <f t="shared" si="5"/>
        <v>31.474154928669922</v>
      </c>
      <c r="T19" s="68">
        <f t="shared" si="6"/>
        <v>100</v>
      </c>
    </row>
    <row r="20" spans="1:20" ht="12.75">
      <c r="A20" s="29" t="s">
        <v>334</v>
      </c>
      <c r="B20" s="27" t="s">
        <v>315</v>
      </c>
      <c r="C20" s="49" t="s">
        <v>325</v>
      </c>
      <c r="D20" s="49" t="s">
        <v>360</v>
      </c>
      <c r="E20" s="49" t="s">
        <v>347</v>
      </c>
      <c r="F20" s="51" t="s">
        <v>335</v>
      </c>
      <c r="G20" s="27">
        <f aca="true" t="shared" si="9" ref="G20:O20">SUM(G21+G23+G25)</f>
        <v>894359.7000000001</v>
      </c>
      <c r="H20" s="82">
        <f t="shared" si="9"/>
        <v>867528.3999999999</v>
      </c>
      <c r="I20" s="27">
        <f t="shared" si="9"/>
        <v>26831.3</v>
      </c>
      <c r="J20" s="27"/>
      <c r="K20" s="27">
        <f t="shared" si="9"/>
        <v>444994.6</v>
      </c>
      <c r="L20" s="82">
        <f t="shared" si="9"/>
        <v>431643.7</v>
      </c>
      <c r="M20" s="27">
        <f t="shared" si="9"/>
        <v>13350.9</v>
      </c>
      <c r="N20" s="27"/>
      <c r="O20" s="27">
        <f t="shared" si="9"/>
        <v>852948.5</v>
      </c>
      <c r="P20" s="82">
        <f>P21+P23+P25</f>
        <v>493381.4</v>
      </c>
      <c r="Q20" s="27">
        <f>SUM(Q21:Q27)</f>
        <v>363837.79999999993</v>
      </c>
      <c r="R20" s="27"/>
      <c r="S20" s="27">
        <f t="shared" si="5"/>
        <v>49.7555699617442</v>
      </c>
      <c r="T20" s="27">
        <f t="shared" si="6"/>
        <v>191.67614618244806</v>
      </c>
    </row>
    <row r="21" spans="1:20" s="19" customFormat="1" ht="13.5" customHeight="1">
      <c r="A21" s="184" t="s">
        <v>50</v>
      </c>
      <c r="B21" s="68" t="s">
        <v>315</v>
      </c>
      <c r="C21" s="144" t="s">
        <v>325</v>
      </c>
      <c r="D21" s="144" t="s">
        <v>360</v>
      </c>
      <c r="E21" s="144" t="s">
        <v>347</v>
      </c>
      <c r="F21" s="67" t="s">
        <v>335</v>
      </c>
      <c r="G21" s="68">
        <f>SUM(H21+I21)</f>
        <v>575241.4</v>
      </c>
      <c r="H21" s="82">
        <v>557984.1</v>
      </c>
      <c r="I21" s="27">
        <v>17257.3</v>
      </c>
      <c r="J21" s="68"/>
      <c r="K21" s="68">
        <f>SUM(L21+M21)</f>
        <v>237426.4</v>
      </c>
      <c r="L21" s="83">
        <v>230303.6</v>
      </c>
      <c r="M21" s="27">
        <v>7122.8</v>
      </c>
      <c r="N21" s="68"/>
      <c r="O21" s="68">
        <f>SUM(P21+Q21)</f>
        <v>333462.8</v>
      </c>
      <c r="P21" s="83">
        <f>153956.3+P22</f>
        <v>178740</v>
      </c>
      <c r="Q21" s="68">
        <f>153956.3+Q22</f>
        <v>154722.8</v>
      </c>
      <c r="R21" s="102"/>
      <c r="S21" s="27">
        <f t="shared" si="5"/>
        <v>41.27422268842428</v>
      </c>
      <c r="T21" s="27">
        <f t="shared" si="6"/>
        <v>140.4489138528824</v>
      </c>
    </row>
    <row r="22" spans="1:20" s="19" customFormat="1" ht="12.75">
      <c r="A22" s="396" t="s">
        <v>195</v>
      </c>
      <c r="B22" s="130"/>
      <c r="C22" s="138"/>
      <c r="D22" s="138"/>
      <c r="E22" s="138"/>
      <c r="F22" s="139"/>
      <c r="G22" s="130"/>
      <c r="H22" s="163"/>
      <c r="I22" s="27"/>
      <c r="J22" s="130"/>
      <c r="K22" s="130"/>
      <c r="L22" s="163"/>
      <c r="M22" s="27"/>
      <c r="N22" s="130"/>
      <c r="O22" s="130">
        <f>P22+Q22</f>
        <v>25550.2</v>
      </c>
      <c r="P22" s="163">
        <v>24783.7</v>
      </c>
      <c r="Q22" s="130">
        <v>766.5</v>
      </c>
      <c r="R22" s="135"/>
      <c r="S22" s="130"/>
      <c r="T22" s="130"/>
    </row>
    <row r="23" spans="1:20" s="19" customFormat="1" ht="25.5">
      <c r="A23" s="184" t="s">
        <v>47</v>
      </c>
      <c r="B23" s="68" t="s">
        <v>315</v>
      </c>
      <c r="C23" s="144" t="s">
        <v>325</v>
      </c>
      <c r="D23" s="144" t="s">
        <v>360</v>
      </c>
      <c r="E23" s="144" t="s">
        <v>347</v>
      </c>
      <c r="F23" s="67" t="s">
        <v>335</v>
      </c>
      <c r="G23" s="68">
        <f>SUM(H23+I23)</f>
        <v>128947.3</v>
      </c>
      <c r="H23" s="83">
        <v>125079.5</v>
      </c>
      <c r="I23" s="27">
        <v>3867.8</v>
      </c>
      <c r="J23" s="68"/>
      <c r="K23" s="68">
        <f>SUM(L23+M23)</f>
        <v>51676.799999999996</v>
      </c>
      <c r="L23" s="83">
        <v>50126.6</v>
      </c>
      <c r="M23" s="27">
        <v>1550.2</v>
      </c>
      <c r="N23" s="68"/>
      <c r="O23" s="68">
        <f>P23+Q23</f>
        <v>138178.8</v>
      </c>
      <c r="P23" s="120">
        <f>50126.6+P24</f>
        <v>86914.4</v>
      </c>
      <c r="Q23" s="73">
        <f>50126.6+Q24</f>
        <v>51264.4</v>
      </c>
      <c r="R23" s="187"/>
      <c r="S23" s="27">
        <f>L23/H23*100</f>
        <v>40.07579179641748</v>
      </c>
      <c r="T23" s="27">
        <f>(O23/K23)*100</f>
        <v>267.3903956901356</v>
      </c>
    </row>
    <row r="24" spans="1:20" s="19" customFormat="1" ht="12.75">
      <c r="A24" s="396" t="s">
        <v>195</v>
      </c>
      <c r="B24" s="130"/>
      <c r="C24" s="138"/>
      <c r="D24" s="138"/>
      <c r="E24" s="138"/>
      <c r="F24" s="139"/>
      <c r="G24" s="130"/>
      <c r="H24" s="163"/>
      <c r="I24" s="27"/>
      <c r="J24" s="130"/>
      <c r="K24" s="130"/>
      <c r="L24" s="163"/>
      <c r="M24" s="27"/>
      <c r="N24" s="130"/>
      <c r="O24" s="130">
        <f>P24+Q24</f>
        <v>37925.600000000006</v>
      </c>
      <c r="P24" s="163">
        <v>36787.8</v>
      </c>
      <c r="Q24" s="130">
        <v>1137.8</v>
      </c>
      <c r="R24" s="135"/>
      <c r="S24" s="130"/>
      <c r="T24" s="130"/>
    </row>
    <row r="25" spans="1:20" s="19" customFormat="1" ht="27.75" customHeight="1">
      <c r="A25" s="184" t="s">
        <v>48</v>
      </c>
      <c r="B25" s="68" t="s">
        <v>315</v>
      </c>
      <c r="C25" s="144" t="s">
        <v>325</v>
      </c>
      <c r="D25" s="144" t="s">
        <v>360</v>
      </c>
      <c r="E25" s="144" t="s">
        <v>347</v>
      </c>
      <c r="F25" s="67" t="s">
        <v>335</v>
      </c>
      <c r="G25" s="68">
        <f>SUM(H25+I25)</f>
        <v>190171</v>
      </c>
      <c r="H25" s="83">
        <v>184464.8</v>
      </c>
      <c r="I25" s="27">
        <v>5706.2</v>
      </c>
      <c r="J25" s="68"/>
      <c r="K25" s="68">
        <f>SUM(L25+M25)</f>
        <v>155891.4</v>
      </c>
      <c r="L25" s="83">
        <v>151213.5</v>
      </c>
      <c r="M25" s="27">
        <v>4677.9</v>
      </c>
      <c r="N25" s="68"/>
      <c r="O25" s="68">
        <f>SUM(P25+Q25)</f>
        <v>381306.9</v>
      </c>
      <c r="P25" s="83">
        <f>151213.5+P26+P27</f>
        <v>227727</v>
      </c>
      <c r="Q25" s="68">
        <f>151213.5+Q26+Q27</f>
        <v>153579.9</v>
      </c>
      <c r="R25" s="68"/>
      <c r="S25" s="27">
        <f>L25/H25*100</f>
        <v>81.97417610297467</v>
      </c>
      <c r="T25" s="27">
        <f>(O25/K25)*100</f>
        <v>244.59777768369523</v>
      </c>
    </row>
    <row r="26" spans="1:20" s="89" customFormat="1" ht="13.5" customHeight="1">
      <c r="A26" s="396" t="s">
        <v>195</v>
      </c>
      <c r="B26" s="130"/>
      <c r="C26" s="138"/>
      <c r="D26" s="138"/>
      <c r="E26" s="138"/>
      <c r="F26" s="139"/>
      <c r="G26" s="130"/>
      <c r="H26" s="163"/>
      <c r="I26" s="27"/>
      <c r="J26" s="130"/>
      <c r="K26" s="130"/>
      <c r="L26" s="163"/>
      <c r="M26" s="27"/>
      <c r="N26" s="130"/>
      <c r="O26" s="130">
        <f>P26+Q26</f>
        <v>33837.7</v>
      </c>
      <c r="P26" s="163">
        <v>32822.6</v>
      </c>
      <c r="Q26" s="130">
        <v>1015.1</v>
      </c>
      <c r="R26" s="130"/>
      <c r="S26" s="130"/>
      <c r="T26" s="130"/>
    </row>
    <row r="27" spans="1:20" s="247" customFormat="1" ht="13.5" customHeight="1">
      <c r="A27" s="397" t="s">
        <v>196</v>
      </c>
      <c r="B27" s="162"/>
      <c r="C27" s="244"/>
      <c r="D27" s="244"/>
      <c r="E27" s="244"/>
      <c r="F27" s="245"/>
      <c r="G27" s="162"/>
      <c r="H27" s="145"/>
      <c r="I27" s="27"/>
      <c r="J27" s="162"/>
      <c r="K27" s="162"/>
      <c r="L27" s="145"/>
      <c r="M27" s="27"/>
      <c r="N27" s="162"/>
      <c r="O27" s="162">
        <f>P27+Q27</f>
        <v>45042.200000000004</v>
      </c>
      <c r="P27" s="145">
        <v>43690.9</v>
      </c>
      <c r="Q27" s="162">
        <v>1351.3</v>
      </c>
      <c r="R27" s="162"/>
      <c r="S27" s="162"/>
      <c r="T27" s="162"/>
    </row>
    <row r="28" spans="1:20" ht="40.5">
      <c r="A28" s="173" t="s">
        <v>316</v>
      </c>
      <c r="B28" s="82" t="s">
        <v>317</v>
      </c>
      <c r="C28" s="174"/>
      <c r="D28" s="82"/>
      <c r="E28" s="174"/>
      <c r="F28" s="174"/>
      <c r="G28" s="84">
        <f aca="true" t="shared" si="10" ref="G28:R28">G30</f>
        <v>457838.5</v>
      </c>
      <c r="H28" s="84">
        <f t="shared" si="10"/>
        <v>457614.2</v>
      </c>
      <c r="I28" s="84">
        <f t="shared" si="10"/>
        <v>224.3</v>
      </c>
      <c r="J28" s="84">
        <f t="shared" si="10"/>
        <v>0</v>
      </c>
      <c r="K28" s="84">
        <f t="shared" si="10"/>
        <v>400681.60000000003</v>
      </c>
      <c r="L28" s="84">
        <f t="shared" si="10"/>
        <v>400527</v>
      </c>
      <c r="M28" s="84">
        <f t="shared" si="10"/>
        <v>154.6</v>
      </c>
      <c r="N28" s="84">
        <f t="shared" si="10"/>
        <v>0</v>
      </c>
      <c r="O28" s="84">
        <f t="shared" si="10"/>
        <v>402076.2</v>
      </c>
      <c r="P28" s="84">
        <f>P30</f>
        <v>401879.8</v>
      </c>
      <c r="Q28" s="84">
        <f t="shared" si="10"/>
        <v>196.4</v>
      </c>
      <c r="R28" s="84">
        <f t="shared" si="10"/>
        <v>0</v>
      </c>
      <c r="S28" s="84">
        <f>L28/H28*100</f>
        <v>87.52503746605765</v>
      </c>
      <c r="T28" s="84">
        <f>(O28/K28)*100</f>
        <v>100.34805691102362</v>
      </c>
    </row>
    <row r="29" spans="1:20" s="247" customFormat="1" ht="12.75">
      <c r="A29" s="253" t="s">
        <v>196</v>
      </c>
      <c r="B29" s="246"/>
      <c r="C29" s="393"/>
      <c r="D29" s="246"/>
      <c r="E29" s="393"/>
      <c r="F29" s="393"/>
      <c r="G29" s="251"/>
      <c r="H29" s="251"/>
      <c r="I29" s="75"/>
      <c r="J29" s="251"/>
      <c r="K29" s="251"/>
      <c r="L29" s="251"/>
      <c r="M29" s="75"/>
      <c r="N29" s="251"/>
      <c r="O29" s="251">
        <f>P29+Q29</f>
        <v>1394.6</v>
      </c>
      <c r="P29" s="251">
        <f>P41</f>
        <v>1352.8</v>
      </c>
      <c r="Q29" s="251">
        <f>Q41</f>
        <v>41.8</v>
      </c>
      <c r="R29" s="251"/>
      <c r="S29" s="251"/>
      <c r="T29" s="246"/>
    </row>
    <row r="30" spans="1:20" ht="28.5" customHeight="1">
      <c r="A30" s="30" t="s">
        <v>324</v>
      </c>
      <c r="B30" s="27" t="s">
        <v>317</v>
      </c>
      <c r="C30" s="51" t="s">
        <v>325</v>
      </c>
      <c r="D30" s="27"/>
      <c r="E30" s="50"/>
      <c r="F30" s="50"/>
      <c r="G30" s="27">
        <f aca="true" t="shared" si="11" ref="G30:R31">SUM(G31)</f>
        <v>457838.5</v>
      </c>
      <c r="H30" s="82">
        <f t="shared" si="11"/>
        <v>457614.2</v>
      </c>
      <c r="I30" s="27">
        <f t="shared" si="11"/>
        <v>224.3</v>
      </c>
      <c r="J30" s="27">
        <f t="shared" si="11"/>
        <v>0</v>
      </c>
      <c r="K30" s="27">
        <f t="shared" si="11"/>
        <v>400681.60000000003</v>
      </c>
      <c r="L30" s="82">
        <f>SUM(L31)</f>
        <v>400527</v>
      </c>
      <c r="M30" s="27">
        <f t="shared" si="11"/>
        <v>154.6</v>
      </c>
      <c r="N30" s="27">
        <f t="shared" si="11"/>
        <v>0</v>
      </c>
      <c r="O30" s="27">
        <f t="shared" si="11"/>
        <v>402076.2</v>
      </c>
      <c r="P30" s="82">
        <f>SUM(P31)</f>
        <v>401879.8</v>
      </c>
      <c r="Q30" s="27">
        <f t="shared" si="11"/>
        <v>196.4</v>
      </c>
      <c r="R30" s="27">
        <f t="shared" si="11"/>
        <v>0</v>
      </c>
      <c r="S30" s="71">
        <f>L30/H30*100</f>
        <v>87.52503746605765</v>
      </c>
      <c r="T30" s="71">
        <f>(O30/K30)*100</f>
        <v>100.34805691102362</v>
      </c>
    </row>
    <row r="31" spans="1:20" ht="12.75">
      <c r="A31" s="52" t="s">
        <v>361</v>
      </c>
      <c r="B31" s="27" t="s">
        <v>317</v>
      </c>
      <c r="C31" s="49" t="s">
        <v>325</v>
      </c>
      <c r="D31" s="49" t="s">
        <v>360</v>
      </c>
      <c r="E31" s="49"/>
      <c r="F31" s="49"/>
      <c r="G31" s="27">
        <f t="shared" si="11"/>
        <v>457838.5</v>
      </c>
      <c r="H31" s="82">
        <f t="shared" si="11"/>
        <v>457614.2</v>
      </c>
      <c r="I31" s="27">
        <f t="shared" si="11"/>
        <v>224.3</v>
      </c>
      <c r="J31" s="27">
        <f t="shared" si="11"/>
        <v>0</v>
      </c>
      <c r="K31" s="27">
        <f t="shared" si="11"/>
        <v>400681.60000000003</v>
      </c>
      <c r="L31" s="82">
        <f t="shared" si="11"/>
        <v>400527</v>
      </c>
      <c r="M31" s="27">
        <f t="shared" si="11"/>
        <v>154.6</v>
      </c>
      <c r="N31" s="27">
        <f t="shared" si="11"/>
        <v>0</v>
      </c>
      <c r="O31" s="27">
        <f t="shared" si="11"/>
        <v>402076.2</v>
      </c>
      <c r="P31" s="82">
        <f t="shared" si="11"/>
        <v>401879.8</v>
      </c>
      <c r="Q31" s="27">
        <f t="shared" si="11"/>
        <v>196.4</v>
      </c>
      <c r="R31" s="27">
        <f t="shared" si="11"/>
        <v>0</v>
      </c>
      <c r="S31" s="71"/>
      <c r="T31" s="71"/>
    </row>
    <row r="32" spans="1:20" ht="12.75">
      <c r="A32" s="52" t="s">
        <v>10</v>
      </c>
      <c r="B32" s="27" t="s">
        <v>317</v>
      </c>
      <c r="C32" s="49" t="s">
        <v>325</v>
      </c>
      <c r="D32" s="49" t="s">
        <v>360</v>
      </c>
      <c r="E32" s="49" t="s">
        <v>347</v>
      </c>
      <c r="F32" s="49"/>
      <c r="G32" s="27">
        <f aca="true" t="shared" si="12" ref="G32:R32">SUM(G33+G38)</f>
        <v>457838.5</v>
      </c>
      <c r="H32" s="82">
        <f t="shared" si="12"/>
        <v>457614.2</v>
      </c>
      <c r="I32" s="27">
        <f t="shared" si="12"/>
        <v>224.3</v>
      </c>
      <c r="J32" s="27">
        <f t="shared" si="12"/>
        <v>0</v>
      </c>
      <c r="K32" s="27">
        <f t="shared" si="12"/>
        <v>400681.60000000003</v>
      </c>
      <c r="L32" s="82">
        <f t="shared" si="12"/>
        <v>400527</v>
      </c>
      <c r="M32" s="27">
        <f t="shared" si="12"/>
        <v>154.6</v>
      </c>
      <c r="N32" s="27">
        <f t="shared" si="12"/>
        <v>0</v>
      </c>
      <c r="O32" s="27">
        <f t="shared" si="12"/>
        <v>402076.2</v>
      </c>
      <c r="P32" s="82">
        <f t="shared" si="12"/>
        <v>401879.8</v>
      </c>
      <c r="Q32" s="27">
        <f t="shared" si="12"/>
        <v>196.4</v>
      </c>
      <c r="R32" s="27">
        <f t="shared" si="12"/>
        <v>0</v>
      </c>
      <c r="S32" s="71"/>
      <c r="T32" s="71"/>
    </row>
    <row r="33" spans="1:20" ht="12.75">
      <c r="A33" s="52" t="s">
        <v>354</v>
      </c>
      <c r="B33" s="27" t="s">
        <v>317</v>
      </c>
      <c r="C33" s="49" t="s">
        <v>325</v>
      </c>
      <c r="D33" s="49" t="s">
        <v>360</v>
      </c>
      <c r="E33" s="49" t="s">
        <v>347</v>
      </c>
      <c r="F33" s="49" t="s">
        <v>355</v>
      </c>
      <c r="G33" s="27">
        <f aca="true" t="shared" si="13" ref="G33:R33">SUM(G34+G37)</f>
        <v>450361.9</v>
      </c>
      <c r="H33" s="82">
        <f t="shared" si="13"/>
        <v>450361.9</v>
      </c>
      <c r="I33" s="27">
        <f t="shared" si="13"/>
        <v>0</v>
      </c>
      <c r="J33" s="27">
        <f t="shared" si="13"/>
        <v>0</v>
      </c>
      <c r="K33" s="27">
        <f t="shared" si="13"/>
        <v>395528.2</v>
      </c>
      <c r="L33" s="82">
        <f t="shared" si="13"/>
        <v>395528.2</v>
      </c>
      <c r="M33" s="27">
        <f t="shared" si="13"/>
        <v>0</v>
      </c>
      <c r="N33" s="27">
        <f t="shared" si="13"/>
        <v>0</v>
      </c>
      <c r="O33" s="27">
        <f t="shared" si="13"/>
        <v>395528.2</v>
      </c>
      <c r="P33" s="82">
        <f t="shared" si="13"/>
        <v>395528.2</v>
      </c>
      <c r="Q33" s="27">
        <f t="shared" si="13"/>
        <v>0</v>
      </c>
      <c r="R33" s="27">
        <f t="shared" si="13"/>
        <v>0</v>
      </c>
      <c r="S33" s="71">
        <f>L33/H33*100</f>
        <v>87.82452512079729</v>
      </c>
      <c r="T33" s="71">
        <f>(O33/K33)*100</f>
        <v>100</v>
      </c>
    </row>
    <row r="34" spans="1:20" ht="26.25" customHeight="1">
      <c r="A34" s="216" t="s">
        <v>324</v>
      </c>
      <c r="B34" s="27" t="s">
        <v>317</v>
      </c>
      <c r="C34" s="49" t="s">
        <v>325</v>
      </c>
      <c r="D34" s="49" t="s">
        <v>360</v>
      </c>
      <c r="E34" s="49" t="s">
        <v>347</v>
      </c>
      <c r="F34" s="49" t="s">
        <v>355</v>
      </c>
      <c r="G34" s="71">
        <f>SUM(H34+I34)</f>
        <v>4957.700000000001</v>
      </c>
      <c r="H34" s="82">
        <f>H35+H36</f>
        <v>4957.700000000001</v>
      </c>
      <c r="I34" s="71">
        <v>0</v>
      </c>
      <c r="J34" s="71">
        <v>0</v>
      </c>
      <c r="K34" s="71">
        <f>SUM(L34+M34)</f>
        <v>0</v>
      </c>
      <c r="L34" s="82">
        <f>L35+L36</f>
        <v>0</v>
      </c>
      <c r="M34" s="71">
        <v>0</v>
      </c>
      <c r="N34" s="71">
        <v>0</v>
      </c>
      <c r="O34" s="71">
        <f>SUM(P34+Q34)</f>
        <v>0</v>
      </c>
      <c r="P34" s="82">
        <f>P35+P36</f>
        <v>0</v>
      </c>
      <c r="Q34" s="71">
        <v>0</v>
      </c>
      <c r="R34" s="71">
        <v>0</v>
      </c>
      <c r="S34" s="75">
        <v>0</v>
      </c>
      <c r="T34" s="75">
        <v>0</v>
      </c>
    </row>
    <row r="35" spans="1:20" ht="26.25" customHeight="1">
      <c r="A35" s="65" t="s">
        <v>142</v>
      </c>
      <c r="B35" s="68"/>
      <c r="C35" s="144"/>
      <c r="D35" s="144"/>
      <c r="E35" s="144"/>
      <c r="F35" s="144"/>
      <c r="G35" s="74"/>
      <c r="H35" s="83">
        <v>2286.8</v>
      </c>
      <c r="I35" s="71"/>
      <c r="J35" s="74"/>
      <c r="K35" s="74"/>
      <c r="L35" s="83">
        <v>0</v>
      </c>
      <c r="M35" s="71"/>
      <c r="N35" s="74"/>
      <c r="O35" s="74"/>
      <c r="P35" s="83">
        <v>0</v>
      </c>
      <c r="Q35" s="74"/>
      <c r="R35" s="74"/>
      <c r="S35" s="74"/>
      <c r="T35" s="74"/>
    </row>
    <row r="36" spans="1:20" ht="24.75" customHeight="1">
      <c r="A36" s="65" t="s">
        <v>143</v>
      </c>
      <c r="B36" s="68"/>
      <c r="C36" s="144"/>
      <c r="D36" s="144"/>
      <c r="E36" s="144"/>
      <c r="F36" s="144"/>
      <c r="G36" s="74"/>
      <c r="H36" s="83">
        <v>2670.9</v>
      </c>
      <c r="I36" s="71"/>
      <c r="J36" s="74"/>
      <c r="K36" s="74"/>
      <c r="L36" s="83">
        <v>0</v>
      </c>
      <c r="M36" s="71"/>
      <c r="N36" s="74"/>
      <c r="O36" s="74"/>
      <c r="P36" s="83">
        <v>0</v>
      </c>
      <c r="Q36" s="74"/>
      <c r="R36" s="74"/>
      <c r="S36" s="74"/>
      <c r="T36" s="74"/>
    </row>
    <row r="37" spans="1:20" ht="12.75">
      <c r="A37" s="216" t="s">
        <v>49</v>
      </c>
      <c r="B37" s="27" t="s">
        <v>317</v>
      </c>
      <c r="C37" s="49" t="s">
        <v>325</v>
      </c>
      <c r="D37" s="49" t="s">
        <v>360</v>
      </c>
      <c r="E37" s="49" t="s">
        <v>347</v>
      </c>
      <c r="F37" s="49" t="s">
        <v>355</v>
      </c>
      <c r="G37" s="27">
        <f>SUM(H37+I37+J37)</f>
        <v>445404.2</v>
      </c>
      <c r="H37" s="82">
        <v>445404.2</v>
      </c>
      <c r="I37" s="27">
        <v>0</v>
      </c>
      <c r="J37" s="27">
        <v>0</v>
      </c>
      <c r="K37" s="27">
        <f>SUM(L37+M37+N37)</f>
        <v>395528.2</v>
      </c>
      <c r="L37" s="82">
        <v>395528.2</v>
      </c>
      <c r="M37" s="27">
        <v>0</v>
      </c>
      <c r="N37" s="27">
        <v>0</v>
      </c>
      <c r="O37" s="27">
        <f>SUM(P37+Q37+R37)</f>
        <v>395528.2</v>
      </c>
      <c r="P37" s="82">
        <v>395528.2</v>
      </c>
      <c r="Q37" s="27">
        <v>0</v>
      </c>
      <c r="R37" s="27">
        <v>0</v>
      </c>
      <c r="S37" s="75">
        <f>L37/H37*100</f>
        <v>88.8020813454386</v>
      </c>
      <c r="T37" s="75">
        <f>P37/L37*100</f>
        <v>100</v>
      </c>
    </row>
    <row r="38" spans="1:20" ht="12.75">
      <c r="A38" s="29" t="s">
        <v>334</v>
      </c>
      <c r="B38" s="27" t="s">
        <v>317</v>
      </c>
      <c r="C38" s="49" t="s">
        <v>325</v>
      </c>
      <c r="D38" s="49" t="s">
        <v>360</v>
      </c>
      <c r="E38" s="49" t="s">
        <v>347</v>
      </c>
      <c r="F38" s="51" t="s">
        <v>335</v>
      </c>
      <c r="G38" s="58">
        <f aca="true" t="shared" si="14" ref="G38:R38">G39+G42</f>
        <v>7476.6</v>
      </c>
      <c r="H38" s="133">
        <f t="shared" si="14"/>
        <v>7252.3</v>
      </c>
      <c r="I38" s="58">
        <f t="shared" si="14"/>
        <v>224.3</v>
      </c>
      <c r="J38" s="58">
        <f t="shared" si="14"/>
        <v>0</v>
      </c>
      <c r="K38" s="58">
        <f>K39+K42</f>
        <v>5153.4</v>
      </c>
      <c r="L38" s="133">
        <f>L39+L42</f>
        <v>4998.8</v>
      </c>
      <c r="M38" s="58">
        <f t="shared" si="14"/>
        <v>154.6</v>
      </c>
      <c r="N38" s="58">
        <f t="shared" si="14"/>
        <v>0</v>
      </c>
      <c r="O38" s="58">
        <f t="shared" si="14"/>
        <v>6548</v>
      </c>
      <c r="P38" s="133">
        <f t="shared" si="14"/>
        <v>6351.6</v>
      </c>
      <c r="Q38" s="58">
        <f t="shared" si="14"/>
        <v>196.4</v>
      </c>
      <c r="R38" s="58">
        <f t="shared" si="14"/>
        <v>0</v>
      </c>
      <c r="S38" s="71">
        <f>L38/H38*100</f>
        <v>68.92709898928616</v>
      </c>
      <c r="T38" s="71">
        <f>(O38/K38)*100</f>
        <v>127.06174564365273</v>
      </c>
    </row>
    <row r="39" spans="1:20" s="80" customFormat="1" ht="12.75">
      <c r="A39" s="521" t="s">
        <v>342</v>
      </c>
      <c r="B39" s="102" t="s">
        <v>317</v>
      </c>
      <c r="C39" s="181" t="s">
        <v>325</v>
      </c>
      <c r="D39" s="181" t="s">
        <v>360</v>
      </c>
      <c r="E39" s="181" t="s">
        <v>347</v>
      </c>
      <c r="F39" s="103" t="s">
        <v>335</v>
      </c>
      <c r="G39" s="102">
        <f>SUM(H39+I39)</f>
        <v>5096.7</v>
      </c>
      <c r="H39" s="104">
        <f>H40</f>
        <v>4943.8</v>
      </c>
      <c r="I39" s="28">
        <f>I40</f>
        <v>152.9</v>
      </c>
      <c r="J39" s="102">
        <v>0</v>
      </c>
      <c r="K39" s="102">
        <f>SUM(L39+M39)</f>
        <v>4158.8</v>
      </c>
      <c r="L39" s="104">
        <f>L40</f>
        <v>4034</v>
      </c>
      <c r="M39" s="28">
        <f>M40</f>
        <v>124.8</v>
      </c>
      <c r="N39" s="102">
        <f>SUM(N40)</f>
        <v>0</v>
      </c>
      <c r="O39" s="102">
        <f>SUM(P39+Q39)</f>
        <v>5553.400000000001</v>
      </c>
      <c r="P39" s="104">
        <f>P40+P41</f>
        <v>5386.8</v>
      </c>
      <c r="Q39" s="102">
        <f>Q40+Q41</f>
        <v>166.6</v>
      </c>
      <c r="R39" s="102">
        <f>SUM(R40)</f>
        <v>0</v>
      </c>
      <c r="S39" s="186">
        <f>L39/H39*100</f>
        <v>81.59715198834904</v>
      </c>
      <c r="T39" s="186">
        <f>P39/L39*100</f>
        <v>133.53495290034704</v>
      </c>
    </row>
    <row r="40" spans="1:20" s="19" customFormat="1" ht="12.75">
      <c r="A40" s="169" t="s">
        <v>144</v>
      </c>
      <c r="B40" s="68"/>
      <c r="C40" s="144"/>
      <c r="D40" s="144"/>
      <c r="E40" s="144"/>
      <c r="F40" s="67"/>
      <c r="G40" s="68">
        <f>H40+I40</f>
        <v>5096.7</v>
      </c>
      <c r="H40" s="83">
        <v>4943.8</v>
      </c>
      <c r="I40" s="27">
        <v>152.9</v>
      </c>
      <c r="J40" s="68"/>
      <c r="K40" s="68"/>
      <c r="L40" s="83">
        <v>4034</v>
      </c>
      <c r="M40" s="27">
        <v>124.8</v>
      </c>
      <c r="N40" s="68"/>
      <c r="O40" s="162"/>
      <c r="P40" s="83">
        <v>4034</v>
      </c>
      <c r="Q40" s="68">
        <v>124.8</v>
      </c>
      <c r="R40" s="68"/>
      <c r="S40" s="27"/>
      <c r="T40" s="27"/>
    </row>
    <row r="41" spans="1:20" s="247" customFormat="1" ht="12.75" customHeight="1">
      <c r="A41" s="397" t="s">
        <v>51</v>
      </c>
      <c r="B41" s="162"/>
      <c r="C41" s="244"/>
      <c r="D41" s="244"/>
      <c r="E41" s="244"/>
      <c r="F41" s="245"/>
      <c r="G41" s="162"/>
      <c r="H41" s="145"/>
      <c r="I41" s="27"/>
      <c r="J41" s="162"/>
      <c r="K41" s="162"/>
      <c r="L41" s="145"/>
      <c r="M41" s="27"/>
      <c r="N41" s="162"/>
      <c r="O41" s="162">
        <f>P41+Q41</f>
        <v>1394.6</v>
      </c>
      <c r="P41" s="145">
        <v>1352.8</v>
      </c>
      <c r="Q41" s="162">
        <v>41.8</v>
      </c>
      <c r="R41" s="162"/>
      <c r="S41" s="162"/>
      <c r="T41" s="162"/>
    </row>
    <row r="42" spans="1:20" s="185" customFormat="1" ht="12.75">
      <c r="A42" s="521" t="s">
        <v>358</v>
      </c>
      <c r="B42" s="102" t="s">
        <v>317</v>
      </c>
      <c r="C42" s="181" t="s">
        <v>325</v>
      </c>
      <c r="D42" s="181" t="s">
        <v>360</v>
      </c>
      <c r="E42" s="181" t="s">
        <v>347</v>
      </c>
      <c r="F42" s="103" t="s">
        <v>335</v>
      </c>
      <c r="G42" s="186">
        <f>SUM(H42+I42)</f>
        <v>2379.9</v>
      </c>
      <c r="H42" s="104">
        <f>SUM(H43)</f>
        <v>2308.5</v>
      </c>
      <c r="I42" s="75">
        <f>SUM(I43)</f>
        <v>71.4</v>
      </c>
      <c r="J42" s="186">
        <f>SUM(J43)</f>
        <v>0</v>
      </c>
      <c r="K42" s="186">
        <f>SUM(L42+M42)</f>
        <v>994.5999999999999</v>
      </c>
      <c r="L42" s="104">
        <f>SUM(L43)</f>
        <v>964.8</v>
      </c>
      <c r="M42" s="75">
        <f>M43</f>
        <v>29.8</v>
      </c>
      <c r="N42" s="186">
        <f>SUM(N43)</f>
        <v>0</v>
      </c>
      <c r="O42" s="186">
        <f>SUM(P42+Q42)</f>
        <v>994.5999999999999</v>
      </c>
      <c r="P42" s="104">
        <f>SUM(P43)</f>
        <v>964.8</v>
      </c>
      <c r="Q42" s="186">
        <f>SUM(Q43)</f>
        <v>29.8</v>
      </c>
      <c r="R42" s="186">
        <f>SUM(R43)</f>
        <v>0</v>
      </c>
      <c r="S42" s="186">
        <f>L42/H42*100</f>
        <v>41.7933723196881</v>
      </c>
      <c r="T42" s="186">
        <f>P42/L42*100</f>
        <v>100</v>
      </c>
    </row>
    <row r="43" spans="1:20" s="19" customFormat="1" ht="12.75">
      <c r="A43" s="169" t="s">
        <v>144</v>
      </c>
      <c r="B43" s="68"/>
      <c r="C43" s="144"/>
      <c r="D43" s="144"/>
      <c r="E43" s="144"/>
      <c r="F43" s="67"/>
      <c r="G43" s="68">
        <f>H43+I43</f>
        <v>2379.9</v>
      </c>
      <c r="H43" s="83">
        <v>2308.5</v>
      </c>
      <c r="I43" s="27">
        <v>71.4</v>
      </c>
      <c r="J43" s="68"/>
      <c r="K43" s="68">
        <f>M43+L43</f>
        <v>994.5999999999999</v>
      </c>
      <c r="L43" s="83">
        <v>964.8</v>
      </c>
      <c r="M43" s="27">
        <v>29.8</v>
      </c>
      <c r="N43" s="68"/>
      <c r="O43" s="68">
        <f>Q43+P43</f>
        <v>994.5999999999999</v>
      </c>
      <c r="P43" s="83">
        <v>964.8</v>
      </c>
      <c r="Q43" s="68">
        <v>29.8</v>
      </c>
      <c r="R43" s="162"/>
      <c r="S43" s="27"/>
      <c r="T43" s="27"/>
    </row>
    <row r="44" spans="1:20" ht="40.5">
      <c r="A44" s="173" t="s">
        <v>318</v>
      </c>
      <c r="B44" s="82" t="s">
        <v>319</v>
      </c>
      <c r="C44" s="174"/>
      <c r="D44" s="82"/>
      <c r="E44" s="174"/>
      <c r="F44" s="174"/>
      <c r="G44" s="84">
        <f>SUM(G46)</f>
        <v>297404.9</v>
      </c>
      <c r="H44" s="84">
        <f>SUM(H46)</f>
        <v>288482.5</v>
      </c>
      <c r="I44" s="84">
        <f>I46</f>
        <v>8922.4</v>
      </c>
      <c r="J44" s="84">
        <f aca="true" t="shared" si="15" ref="J44:R44">SUM(J46)</f>
        <v>0</v>
      </c>
      <c r="K44" s="84">
        <f t="shared" si="15"/>
        <v>188585.4</v>
      </c>
      <c r="L44" s="84">
        <f t="shared" si="15"/>
        <v>182927.8</v>
      </c>
      <c r="M44" s="84">
        <f t="shared" si="15"/>
        <v>5657.599999999999</v>
      </c>
      <c r="N44" s="84">
        <f t="shared" si="15"/>
        <v>0</v>
      </c>
      <c r="O44" s="84">
        <f>SUM(O46)</f>
        <v>248194.30000000002</v>
      </c>
      <c r="P44" s="84">
        <f>P46</f>
        <v>240748.5</v>
      </c>
      <c r="Q44" s="84">
        <f>Q46</f>
        <v>7445.799999999999</v>
      </c>
      <c r="R44" s="84">
        <f t="shared" si="15"/>
        <v>0</v>
      </c>
      <c r="S44" s="84">
        <f>SUM(L44/H44)*100</f>
        <v>63.41036284696645</v>
      </c>
      <c r="T44" s="82"/>
    </row>
    <row r="45" spans="1:20" ht="12.75">
      <c r="A45" s="254" t="s">
        <v>195</v>
      </c>
      <c r="B45" s="156"/>
      <c r="C45" s="179"/>
      <c r="D45" s="156"/>
      <c r="E45" s="179"/>
      <c r="F45" s="179"/>
      <c r="G45" s="156"/>
      <c r="H45" s="136"/>
      <c r="I45" s="75"/>
      <c r="J45" s="156"/>
      <c r="K45" s="156"/>
      <c r="L45" s="136"/>
      <c r="M45" s="75"/>
      <c r="N45" s="156"/>
      <c r="O45" s="156">
        <f>P45+Q45</f>
        <v>59591.9</v>
      </c>
      <c r="P45" s="136">
        <f>P51</f>
        <v>57820.700000000004</v>
      </c>
      <c r="Q45" s="156">
        <f>Q51</f>
        <v>1771.2</v>
      </c>
      <c r="R45" s="156"/>
      <c r="S45" s="156"/>
      <c r="T45" s="156"/>
    </row>
    <row r="46" spans="1:20" ht="39" customHeight="1">
      <c r="A46" s="30" t="s">
        <v>324</v>
      </c>
      <c r="B46" s="27" t="s">
        <v>319</v>
      </c>
      <c r="C46" s="51" t="s">
        <v>325</v>
      </c>
      <c r="D46" s="27"/>
      <c r="E46" s="50"/>
      <c r="F46" s="50"/>
      <c r="G46" s="27">
        <f>SUM(G47)</f>
        <v>297404.9</v>
      </c>
      <c r="H46" s="82">
        <f aca="true" t="shared" si="16" ref="H46:J48">SUM(H47)</f>
        <v>288482.5</v>
      </c>
      <c r="I46" s="27">
        <f t="shared" si="16"/>
        <v>8922.4</v>
      </c>
      <c r="J46" s="27">
        <f t="shared" si="16"/>
        <v>0</v>
      </c>
      <c r="K46" s="27">
        <f aca="true" t="shared" si="17" ref="K46:N48">SUM(K47)</f>
        <v>188585.4</v>
      </c>
      <c r="L46" s="82">
        <f t="shared" si="17"/>
        <v>182927.8</v>
      </c>
      <c r="M46" s="27">
        <f t="shared" si="17"/>
        <v>5657.599999999999</v>
      </c>
      <c r="N46" s="27">
        <f t="shared" si="17"/>
        <v>0</v>
      </c>
      <c r="O46" s="27">
        <f aca="true" t="shared" si="18" ref="O46:R48">SUM(O47)</f>
        <v>248194.30000000002</v>
      </c>
      <c r="P46" s="82">
        <f t="shared" si="18"/>
        <v>240748.5</v>
      </c>
      <c r="Q46" s="27">
        <f t="shared" si="18"/>
        <v>7445.799999999999</v>
      </c>
      <c r="R46" s="27">
        <f t="shared" si="18"/>
        <v>0</v>
      </c>
      <c r="S46" s="27">
        <f>L46/H46*100</f>
        <v>63.41036284696645</v>
      </c>
      <c r="T46" s="27"/>
    </row>
    <row r="47" spans="1:20" ht="12.75">
      <c r="A47" s="52" t="s">
        <v>361</v>
      </c>
      <c r="B47" s="27" t="s">
        <v>319</v>
      </c>
      <c r="C47" s="51" t="s">
        <v>325</v>
      </c>
      <c r="D47" s="49" t="s">
        <v>360</v>
      </c>
      <c r="E47" s="50"/>
      <c r="F47" s="50"/>
      <c r="G47" s="27">
        <f>SUM(G48)</f>
        <v>297404.9</v>
      </c>
      <c r="H47" s="82">
        <f t="shared" si="16"/>
        <v>288482.5</v>
      </c>
      <c r="I47" s="27">
        <f t="shared" si="16"/>
        <v>8922.4</v>
      </c>
      <c r="J47" s="27">
        <f t="shared" si="16"/>
        <v>0</v>
      </c>
      <c r="K47" s="27">
        <f t="shared" si="17"/>
        <v>188585.4</v>
      </c>
      <c r="L47" s="82">
        <f t="shared" si="17"/>
        <v>182927.8</v>
      </c>
      <c r="M47" s="27">
        <f t="shared" si="17"/>
        <v>5657.599999999999</v>
      </c>
      <c r="N47" s="27">
        <f t="shared" si="17"/>
        <v>0</v>
      </c>
      <c r="O47" s="27">
        <f t="shared" si="18"/>
        <v>248194.30000000002</v>
      </c>
      <c r="P47" s="82">
        <f t="shared" si="18"/>
        <v>240748.5</v>
      </c>
      <c r="Q47" s="27">
        <f t="shared" si="18"/>
        <v>7445.799999999999</v>
      </c>
      <c r="R47" s="27">
        <f t="shared" si="18"/>
        <v>0</v>
      </c>
      <c r="S47" s="27"/>
      <c r="T47" s="27"/>
    </row>
    <row r="48" spans="1:20" ht="25.5">
      <c r="A48" s="52" t="s">
        <v>11</v>
      </c>
      <c r="B48" s="27" t="s">
        <v>319</v>
      </c>
      <c r="C48" s="51" t="s">
        <v>325</v>
      </c>
      <c r="D48" s="49" t="s">
        <v>360</v>
      </c>
      <c r="E48" s="49" t="s">
        <v>360</v>
      </c>
      <c r="F48" s="50"/>
      <c r="G48" s="27">
        <f>SUM(G49)</f>
        <v>297404.9</v>
      </c>
      <c r="H48" s="82">
        <f t="shared" si="16"/>
        <v>288482.5</v>
      </c>
      <c r="I48" s="27">
        <f t="shared" si="16"/>
        <v>8922.4</v>
      </c>
      <c r="J48" s="27">
        <f t="shared" si="16"/>
        <v>0</v>
      </c>
      <c r="K48" s="27">
        <f t="shared" si="17"/>
        <v>188585.4</v>
      </c>
      <c r="L48" s="82">
        <f t="shared" si="17"/>
        <v>182927.8</v>
      </c>
      <c r="M48" s="27">
        <f t="shared" si="17"/>
        <v>5657.599999999999</v>
      </c>
      <c r="N48" s="27">
        <f t="shared" si="17"/>
        <v>0</v>
      </c>
      <c r="O48" s="27">
        <f t="shared" si="18"/>
        <v>248194.30000000002</v>
      </c>
      <c r="P48" s="82">
        <f t="shared" si="18"/>
        <v>240748.5</v>
      </c>
      <c r="Q48" s="27">
        <f t="shared" si="18"/>
        <v>7445.799999999999</v>
      </c>
      <c r="R48" s="27">
        <f t="shared" si="18"/>
        <v>0</v>
      </c>
      <c r="S48" s="27"/>
      <c r="T48" s="27"/>
    </row>
    <row r="49" spans="1:20" ht="12.75">
      <c r="A49" s="54" t="s">
        <v>334</v>
      </c>
      <c r="B49" s="27" t="s">
        <v>319</v>
      </c>
      <c r="C49" s="51" t="s">
        <v>325</v>
      </c>
      <c r="D49" s="49" t="s">
        <v>360</v>
      </c>
      <c r="E49" s="49" t="s">
        <v>360</v>
      </c>
      <c r="F49" s="51" t="s">
        <v>335</v>
      </c>
      <c r="G49" s="27">
        <f>SUM(G50+G60)</f>
        <v>297404.9</v>
      </c>
      <c r="H49" s="82">
        <f>SUM(H50+H60)</f>
        <v>288482.5</v>
      </c>
      <c r="I49" s="27">
        <f>I50+I60</f>
        <v>8922.4</v>
      </c>
      <c r="J49" s="27">
        <f aca="true" t="shared" si="19" ref="J49:R49">SUM(J50+J60)</f>
        <v>0</v>
      </c>
      <c r="K49" s="27">
        <f t="shared" si="19"/>
        <v>188585.4</v>
      </c>
      <c r="L49" s="82">
        <f t="shared" si="19"/>
        <v>182927.8</v>
      </c>
      <c r="M49" s="27">
        <f t="shared" si="19"/>
        <v>5657.599999999999</v>
      </c>
      <c r="N49" s="27">
        <f t="shared" si="19"/>
        <v>0</v>
      </c>
      <c r="O49" s="27">
        <f t="shared" si="19"/>
        <v>248194.30000000002</v>
      </c>
      <c r="P49" s="82">
        <f t="shared" si="19"/>
        <v>240748.5</v>
      </c>
      <c r="Q49" s="27">
        <f t="shared" si="19"/>
        <v>7445.799999999999</v>
      </c>
      <c r="R49" s="27">
        <f t="shared" si="19"/>
        <v>0</v>
      </c>
      <c r="S49" s="27">
        <f>L49/H49*100</f>
        <v>63.41036284696645</v>
      </c>
      <c r="T49" s="27">
        <f>(O49/K49)*100</f>
        <v>131.60843840509392</v>
      </c>
    </row>
    <row r="50" spans="1:20" s="80" customFormat="1" ht="12.75">
      <c r="A50" s="180" t="s">
        <v>342</v>
      </c>
      <c r="B50" s="102" t="s">
        <v>319</v>
      </c>
      <c r="C50" s="103" t="s">
        <v>325</v>
      </c>
      <c r="D50" s="181" t="s">
        <v>360</v>
      </c>
      <c r="E50" s="181" t="s">
        <v>360</v>
      </c>
      <c r="F50" s="103" t="s">
        <v>335</v>
      </c>
      <c r="G50" s="102">
        <f>SUM(H50+I50)</f>
        <v>278814.5</v>
      </c>
      <c r="H50" s="104">
        <f>H52+H54</f>
        <v>270449.8</v>
      </c>
      <c r="I50" s="28">
        <f>I52+I54</f>
        <v>8364.699999999999</v>
      </c>
      <c r="J50" s="102"/>
      <c r="K50" s="102">
        <f>SUM(L50+M50)</f>
        <v>171513.3</v>
      </c>
      <c r="L50" s="104">
        <f>L52+L54</f>
        <v>166367.9</v>
      </c>
      <c r="M50" s="28">
        <f>M52+M54</f>
        <v>5145.4</v>
      </c>
      <c r="N50" s="102"/>
      <c r="O50" s="102">
        <f>SUM(P50+Q50)</f>
        <v>231122.2</v>
      </c>
      <c r="P50" s="104">
        <f>P52+P53+P54+P59</f>
        <v>224188.6</v>
      </c>
      <c r="Q50" s="102">
        <f>Q52+Q53+Q54+Q59</f>
        <v>6933.599999999999</v>
      </c>
      <c r="R50" s="102"/>
      <c r="S50" s="102">
        <f>L50/H50*100</f>
        <v>61.515260872812625</v>
      </c>
      <c r="T50" s="102"/>
    </row>
    <row r="51" spans="1:20" s="89" customFormat="1" ht="12.75">
      <c r="A51" s="255" t="s">
        <v>195</v>
      </c>
      <c r="B51" s="130"/>
      <c r="C51" s="139"/>
      <c r="D51" s="138"/>
      <c r="E51" s="138"/>
      <c r="F51" s="139"/>
      <c r="G51" s="130"/>
      <c r="H51" s="163"/>
      <c r="I51" s="27"/>
      <c r="J51" s="130"/>
      <c r="K51" s="130"/>
      <c r="L51" s="163"/>
      <c r="M51" s="27"/>
      <c r="N51" s="130"/>
      <c r="O51" s="130">
        <f aca="true" t="shared" si="20" ref="O51:O57">P51+Q51</f>
        <v>59591.9</v>
      </c>
      <c r="P51" s="163">
        <f>P53+P59</f>
        <v>57820.700000000004</v>
      </c>
      <c r="Q51" s="130">
        <f>Q53+Q58</f>
        <v>1771.2</v>
      </c>
      <c r="R51" s="130"/>
      <c r="S51" s="130"/>
      <c r="T51" s="130"/>
    </row>
    <row r="52" spans="1:20" s="19" customFormat="1" ht="12.75">
      <c r="A52" s="399" t="s">
        <v>145</v>
      </c>
      <c r="B52" s="68"/>
      <c r="C52" s="67"/>
      <c r="D52" s="144"/>
      <c r="E52" s="144"/>
      <c r="F52" s="67"/>
      <c r="G52" s="68">
        <f>H52+I52</f>
        <v>262054</v>
      </c>
      <c r="H52" s="83">
        <v>254192.1</v>
      </c>
      <c r="I52" s="27">
        <v>7861.9</v>
      </c>
      <c r="J52" s="68"/>
      <c r="K52" s="68">
        <f>L52+M52</f>
        <v>166790.6</v>
      </c>
      <c r="L52" s="83">
        <v>161786.9</v>
      </c>
      <c r="M52" s="27">
        <v>5003.7</v>
      </c>
      <c r="N52" s="68"/>
      <c r="O52" s="68">
        <f t="shared" si="20"/>
        <v>166790.6</v>
      </c>
      <c r="P52" s="83">
        <v>161786.9</v>
      </c>
      <c r="Q52" s="68">
        <v>5003.7</v>
      </c>
      <c r="R52" s="68"/>
      <c r="S52" s="68"/>
      <c r="T52" s="68"/>
    </row>
    <row r="53" spans="1:20" s="89" customFormat="1" ht="12.75">
      <c r="A53" s="255" t="s">
        <v>147</v>
      </c>
      <c r="B53" s="130"/>
      <c r="C53" s="139"/>
      <c r="D53" s="138"/>
      <c r="E53" s="138"/>
      <c r="F53" s="139"/>
      <c r="G53" s="130"/>
      <c r="H53" s="163"/>
      <c r="I53" s="27"/>
      <c r="J53" s="130"/>
      <c r="K53" s="130"/>
      <c r="L53" s="163"/>
      <c r="M53" s="27"/>
      <c r="N53" s="130"/>
      <c r="O53" s="130">
        <f t="shared" si="20"/>
        <v>59043</v>
      </c>
      <c r="P53" s="163">
        <v>57271.8</v>
      </c>
      <c r="Q53" s="130">
        <v>1771.2</v>
      </c>
      <c r="R53" s="130"/>
      <c r="S53" s="130"/>
      <c r="T53" s="130"/>
    </row>
    <row r="54" spans="1:20" s="172" customFormat="1" ht="12.75">
      <c r="A54" s="66" t="s">
        <v>199</v>
      </c>
      <c r="B54" s="66"/>
      <c r="C54" s="182"/>
      <c r="D54" s="149"/>
      <c r="E54" s="149"/>
      <c r="F54" s="182"/>
      <c r="G54" s="66">
        <f>H54+I54</f>
        <v>16760.5</v>
      </c>
      <c r="H54" s="183">
        <f>H55+H56+H57</f>
        <v>16257.7</v>
      </c>
      <c r="I54" s="29">
        <f>I55+I56+I57</f>
        <v>502.8</v>
      </c>
      <c r="J54" s="66"/>
      <c r="K54" s="66">
        <f>L54+M54</f>
        <v>4722.7</v>
      </c>
      <c r="L54" s="183">
        <f>L55+L56+L57</f>
        <v>4581</v>
      </c>
      <c r="M54" s="29">
        <f>M55+M56+M57</f>
        <v>141.7</v>
      </c>
      <c r="N54" s="66"/>
      <c r="O54" s="66">
        <f t="shared" si="20"/>
        <v>4722.7</v>
      </c>
      <c r="P54" s="183">
        <f>P55+P56+P57</f>
        <v>4581</v>
      </c>
      <c r="Q54" s="402">
        <f>Q55+Q56+Q57</f>
        <v>141.7</v>
      </c>
      <c r="R54" s="66"/>
      <c r="S54" s="66"/>
      <c r="T54" s="66"/>
    </row>
    <row r="55" spans="1:20" s="19" customFormat="1" ht="51">
      <c r="A55" s="398" t="s">
        <v>98</v>
      </c>
      <c r="B55" s="68"/>
      <c r="C55" s="67"/>
      <c r="D55" s="144"/>
      <c r="E55" s="144"/>
      <c r="F55" s="67"/>
      <c r="G55" s="66">
        <f>H55+I55</f>
        <v>8660.5</v>
      </c>
      <c r="H55" s="83">
        <v>8400.7</v>
      </c>
      <c r="I55" s="27">
        <v>259.8</v>
      </c>
      <c r="J55" s="68"/>
      <c r="K55" s="66">
        <f>L55+M55</f>
        <v>1355</v>
      </c>
      <c r="L55" s="83">
        <v>1314.3</v>
      </c>
      <c r="M55" s="27">
        <v>40.7</v>
      </c>
      <c r="N55" s="68"/>
      <c r="O55" s="66">
        <f t="shared" si="20"/>
        <v>1355</v>
      </c>
      <c r="P55" s="83">
        <v>1314.3</v>
      </c>
      <c r="Q55" s="68">
        <v>40.7</v>
      </c>
      <c r="R55" s="68"/>
      <c r="S55" s="68"/>
      <c r="T55" s="68"/>
    </row>
    <row r="56" spans="1:20" s="19" customFormat="1" ht="33.75" customHeight="1">
      <c r="A56" s="398" t="s">
        <v>99</v>
      </c>
      <c r="B56" s="68"/>
      <c r="C56" s="67"/>
      <c r="D56" s="144"/>
      <c r="E56" s="144"/>
      <c r="F56" s="67"/>
      <c r="G56" s="66">
        <f>H56+I56</f>
        <v>6600</v>
      </c>
      <c r="H56" s="83">
        <v>6402</v>
      </c>
      <c r="I56" s="27">
        <v>198</v>
      </c>
      <c r="J56" s="68"/>
      <c r="K56" s="66">
        <f>L56+M56</f>
        <v>1867.7</v>
      </c>
      <c r="L56" s="83">
        <v>1811.7</v>
      </c>
      <c r="M56" s="27">
        <v>56</v>
      </c>
      <c r="N56" s="68"/>
      <c r="O56" s="66">
        <f t="shared" si="20"/>
        <v>1867.7</v>
      </c>
      <c r="P56" s="83">
        <v>1811.7</v>
      </c>
      <c r="Q56" s="68">
        <v>56</v>
      </c>
      <c r="R56" s="68"/>
      <c r="S56" s="68"/>
      <c r="T56" s="68"/>
    </row>
    <row r="57" spans="1:20" s="19" customFormat="1" ht="33.75" customHeight="1">
      <c r="A57" s="398" t="s">
        <v>100</v>
      </c>
      <c r="B57" s="68"/>
      <c r="C57" s="67"/>
      <c r="D57" s="144"/>
      <c r="E57" s="144"/>
      <c r="F57" s="67"/>
      <c r="G57" s="66">
        <f>H57+I57</f>
        <v>1500</v>
      </c>
      <c r="H57" s="83">
        <v>1455</v>
      </c>
      <c r="I57" s="27">
        <v>45</v>
      </c>
      <c r="J57" s="68"/>
      <c r="K57" s="66">
        <f>L57+M57</f>
        <v>1500</v>
      </c>
      <c r="L57" s="83">
        <v>1455</v>
      </c>
      <c r="M57" s="27">
        <v>45</v>
      </c>
      <c r="N57" s="68"/>
      <c r="O57" s="66">
        <f t="shared" si="20"/>
        <v>1500</v>
      </c>
      <c r="P57" s="83">
        <v>1455</v>
      </c>
      <c r="Q57" s="68">
        <v>45</v>
      </c>
      <c r="R57" s="68"/>
      <c r="S57" s="68"/>
      <c r="T57" s="68"/>
    </row>
    <row r="58" spans="1:20" s="148" customFormat="1" ht="12.75">
      <c r="A58" s="178" t="s">
        <v>146</v>
      </c>
      <c r="B58" s="135"/>
      <c r="C58" s="168"/>
      <c r="D58" s="167"/>
      <c r="E58" s="167"/>
      <c r="F58" s="168"/>
      <c r="G58" s="135"/>
      <c r="H58" s="136"/>
      <c r="I58" s="28"/>
      <c r="J58" s="135"/>
      <c r="K58" s="135"/>
      <c r="L58" s="136"/>
      <c r="M58" s="28"/>
      <c r="N58" s="135"/>
      <c r="O58" s="135"/>
      <c r="P58" s="136"/>
      <c r="Q58" s="135"/>
      <c r="R58" s="135"/>
      <c r="S58" s="135"/>
      <c r="T58" s="135"/>
    </row>
    <row r="59" spans="1:20" s="89" customFormat="1" ht="25.5">
      <c r="A59" s="401" t="s">
        <v>101</v>
      </c>
      <c r="B59" s="130"/>
      <c r="C59" s="139"/>
      <c r="D59" s="138"/>
      <c r="E59" s="138"/>
      <c r="F59" s="139"/>
      <c r="G59" s="130"/>
      <c r="H59" s="163"/>
      <c r="I59" s="27"/>
      <c r="J59" s="130"/>
      <c r="K59" s="130"/>
      <c r="L59" s="163"/>
      <c r="M59" s="27"/>
      <c r="N59" s="130"/>
      <c r="O59" s="130">
        <f>P59+Q59</f>
        <v>565.9</v>
      </c>
      <c r="P59" s="163">
        <v>548.9</v>
      </c>
      <c r="Q59" s="130">
        <v>17</v>
      </c>
      <c r="R59" s="130"/>
      <c r="S59" s="130"/>
      <c r="T59" s="130"/>
    </row>
    <row r="60" spans="1:20" s="80" customFormat="1" ht="12.75">
      <c r="A60" s="180" t="s">
        <v>336</v>
      </c>
      <c r="B60" s="102" t="s">
        <v>319</v>
      </c>
      <c r="C60" s="103" t="s">
        <v>325</v>
      </c>
      <c r="D60" s="181" t="s">
        <v>360</v>
      </c>
      <c r="E60" s="181" t="s">
        <v>360</v>
      </c>
      <c r="F60" s="103" t="s">
        <v>335</v>
      </c>
      <c r="G60" s="102">
        <f>SUM(H60+I60)</f>
        <v>18590.4</v>
      </c>
      <c r="H60" s="104">
        <f>H61+H62</f>
        <v>18032.7</v>
      </c>
      <c r="I60" s="28">
        <f>I61+I62</f>
        <v>557.7</v>
      </c>
      <c r="J60" s="102"/>
      <c r="K60" s="102">
        <f>SUM(L60+M60)</f>
        <v>17072.100000000002</v>
      </c>
      <c r="L60" s="104">
        <f>L61+L62</f>
        <v>16559.9</v>
      </c>
      <c r="M60" s="28">
        <f>M61+M62</f>
        <v>512.2</v>
      </c>
      <c r="N60" s="102"/>
      <c r="O60" s="102">
        <f>SUM(P60+Q60)</f>
        <v>17072.100000000002</v>
      </c>
      <c r="P60" s="104">
        <f>P61+P62</f>
        <v>16559.9</v>
      </c>
      <c r="Q60" s="102">
        <f>Q61+Q62</f>
        <v>512.2</v>
      </c>
      <c r="R60" s="102"/>
      <c r="S60" s="28">
        <f>L60/H60*100</f>
        <v>91.83261519350957</v>
      </c>
      <c r="T60" s="28">
        <f>P60/L60*100</f>
        <v>100</v>
      </c>
    </row>
    <row r="61" spans="1:20" s="19" customFormat="1" ht="12.75">
      <c r="A61" s="399" t="s">
        <v>145</v>
      </c>
      <c r="B61" s="68"/>
      <c r="C61" s="67"/>
      <c r="D61" s="144"/>
      <c r="E61" s="144"/>
      <c r="F61" s="67"/>
      <c r="G61" s="66">
        <f aca="true" t="shared" si="21" ref="G61:G70">H61+I61</f>
        <v>11107.9</v>
      </c>
      <c r="H61" s="83">
        <v>10774.6</v>
      </c>
      <c r="I61" s="27">
        <v>333.3</v>
      </c>
      <c r="J61" s="68"/>
      <c r="K61" s="66">
        <f>L61+M61</f>
        <v>10418</v>
      </c>
      <c r="L61" s="83">
        <v>10105.4</v>
      </c>
      <c r="M61" s="27">
        <v>312.6</v>
      </c>
      <c r="N61" s="68"/>
      <c r="O61" s="66">
        <f>P61+Q61</f>
        <v>10418</v>
      </c>
      <c r="P61" s="83">
        <v>10105.4</v>
      </c>
      <c r="Q61" s="68">
        <v>312.6</v>
      </c>
      <c r="R61" s="68"/>
      <c r="S61" s="68"/>
      <c r="T61" s="68"/>
    </row>
    <row r="62" spans="1:20" s="19" customFormat="1" ht="12.75">
      <c r="A62" s="184" t="s">
        <v>201</v>
      </c>
      <c r="B62" s="68"/>
      <c r="C62" s="67"/>
      <c r="D62" s="144"/>
      <c r="E62" s="144"/>
      <c r="F62" s="67"/>
      <c r="G62" s="66">
        <f t="shared" si="21"/>
        <v>7482.5</v>
      </c>
      <c r="H62" s="83">
        <f>H63+H64+H65+H66+H67+H68+H69+H70</f>
        <v>7258.1</v>
      </c>
      <c r="I62" s="27">
        <f>I63+I64+I65+I66+I67+I68+I69+I70</f>
        <v>224.4</v>
      </c>
      <c r="J62" s="68"/>
      <c r="K62" s="66">
        <f>L62+M62</f>
        <v>6654.1</v>
      </c>
      <c r="L62" s="83">
        <f>L63+L64+L65+L66+L67+L68+L69+L70</f>
        <v>6454.5</v>
      </c>
      <c r="M62" s="27">
        <f>M63+M64+M65+M66+M67+M68+M69+M70</f>
        <v>199.6</v>
      </c>
      <c r="N62" s="68"/>
      <c r="O62" s="66">
        <f>P62+Q62</f>
        <v>6654.1</v>
      </c>
      <c r="P62" s="83">
        <f>P63+P64+P65+P66+P67+P68+P69+P70</f>
        <v>6454.5</v>
      </c>
      <c r="Q62" s="73">
        <f>Q63+Q64+Q65+Q66+Q67+Q68+Q69+Q70</f>
        <v>199.6</v>
      </c>
      <c r="R62" s="68"/>
      <c r="S62" s="68"/>
      <c r="T62" s="68"/>
    </row>
    <row r="63" spans="1:20" s="19" customFormat="1" ht="38.25">
      <c r="A63" s="392" t="s">
        <v>102</v>
      </c>
      <c r="B63" s="68"/>
      <c r="C63" s="67"/>
      <c r="D63" s="144"/>
      <c r="E63" s="144"/>
      <c r="F63" s="67"/>
      <c r="G63" s="66">
        <f t="shared" si="21"/>
        <v>329.9</v>
      </c>
      <c r="H63" s="120">
        <v>320</v>
      </c>
      <c r="I63" s="27">
        <v>9.9</v>
      </c>
      <c r="J63" s="68"/>
      <c r="K63" s="66">
        <f>L63+M63</f>
        <v>329.9</v>
      </c>
      <c r="L63" s="120">
        <v>320</v>
      </c>
      <c r="M63" s="27">
        <v>9.9</v>
      </c>
      <c r="N63" s="73"/>
      <c r="O63" s="66">
        <f aca="true" t="shared" si="22" ref="O63:O70">P63+Q63</f>
        <v>329.9</v>
      </c>
      <c r="P63" s="120">
        <v>320</v>
      </c>
      <c r="Q63" s="73">
        <v>9.9</v>
      </c>
      <c r="R63" s="68"/>
      <c r="S63" s="68"/>
      <c r="T63" s="68"/>
    </row>
    <row r="64" spans="1:20" s="19" customFormat="1" ht="38.25">
      <c r="A64" s="392" t="s">
        <v>103</v>
      </c>
      <c r="B64" s="68"/>
      <c r="C64" s="67"/>
      <c r="D64" s="144"/>
      <c r="E64" s="144"/>
      <c r="F64" s="67"/>
      <c r="G64" s="66">
        <f t="shared" si="21"/>
        <v>329.9</v>
      </c>
      <c r="H64" s="120">
        <v>320</v>
      </c>
      <c r="I64" s="27">
        <v>9.9</v>
      </c>
      <c r="J64" s="68"/>
      <c r="K64" s="66">
        <f aca="true" t="shared" si="23" ref="K64:K70">L64+M64</f>
        <v>329.9</v>
      </c>
      <c r="L64" s="120">
        <v>320</v>
      </c>
      <c r="M64" s="27">
        <v>9.9</v>
      </c>
      <c r="N64" s="73"/>
      <c r="O64" s="66">
        <f t="shared" si="22"/>
        <v>329.9</v>
      </c>
      <c r="P64" s="120">
        <v>320</v>
      </c>
      <c r="Q64" s="73">
        <v>9.9</v>
      </c>
      <c r="R64" s="68"/>
      <c r="S64" s="68"/>
      <c r="T64" s="68"/>
    </row>
    <row r="65" spans="1:20" s="19" customFormat="1" ht="38.25">
      <c r="A65" s="392" t="s">
        <v>104</v>
      </c>
      <c r="B65" s="68"/>
      <c r="C65" s="67"/>
      <c r="D65" s="144"/>
      <c r="E65" s="144"/>
      <c r="F65" s="67"/>
      <c r="G65" s="66">
        <f t="shared" si="21"/>
        <v>329.9</v>
      </c>
      <c r="H65" s="120">
        <v>320</v>
      </c>
      <c r="I65" s="27">
        <v>9.9</v>
      </c>
      <c r="J65" s="68"/>
      <c r="K65" s="66">
        <f t="shared" si="23"/>
        <v>329.9</v>
      </c>
      <c r="L65" s="120">
        <v>320</v>
      </c>
      <c r="M65" s="27">
        <v>9.9</v>
      </c>
      <c r="N65" s="73"/>
      <c r="O65" s="66">
        <f t="shared" si="22"/>
        <v>329.9</v>
      </c>
      <c r="P65" s="120">
        <v>320</v>
      </c>
      <c r="Q65" s="73">
        <v>9.9</v>
      </c>
      <c r="R65" s="68"/>
      <c r="S65" s="68"/>
      <c r="T65" s="68"/>
    </row>
    <row r="66" spans="1:20" s="19" customFormat="1" ht="22.5" customHeight="1">
      <c r="A66" s="392" t="s">
        <v>169</v>
      </c>
      <c r="B66" s="68"/>
      <c r="C66" s="67"/>
      <c r="D66" s="144"/>
      <c r="E66" s="144"/>
      <c r="F66" s="67"/>
      <c r="G66" s="66">
        <f t="shared" si="21"/>
        <v>1030.9</v>
      </c>
      <c r="H66" s="120">
        <v>1000</v>
      </c>
      <c r="I66" s="27">
        <v>30.9</v>
      </c>
      <c r="J66" s="68"/>
      <c r="K66" s="66">
        <f t="shared" si="23"/>
        <v>1013</v>
      </c>
      <c r="L66" s="83">
        <v>982.6</v>
      </c>
      <c r="M66" s="27">
        <v>30.4</v>
      </c>
      <c r="N66" s="68"/>
      <c r="O66" s="66">
        <f t="shared" si="22"/>
        <v>1013</v>
      </c>
      <c r="P66" s="83">
        <v>982.6</v>
      </c>
      <c r="Q66" s="68">
        <v>30.4</v>
      </c>
      <c r="R66" s="68"/>
      <c r="S66" s="68"/>
      <c r="T66" s="68"/>
    </row>
    <row r="67" spans="1:20" s="19" customFormat="1" ht="25.5">
      <c r="A67" s="392" t="s">
        <v>105</v>
      </c>
      <c r="B67" s="68"/>
      <c r="C67" s="67"/>
      <c r="D67" s="144"/>
      <c r="E67" s="144"/>
      <c r="F67" s="67"/>
      <c r="G67" s="66">
        <f t="shared" si="21"/>
        <v>1974.1000000000001</v>
      </c>
      <c r="H67" s="120">
        <v>1914.9</v>
      </c>
      <c r="I67" s="27">
        <v>59.2</v>
      </c>
      <c r="J67" s="73"/>
      <c r="K67" s="66">
        <f t="shared" si="23"/>
        <v>1184.4</v>
      </c>
      <c r="L67" s="120">
        <v>1148.9</v>
      </c>
      <c r="M67" s="27">
        <v>35.5</v>
      </c>
      <c r="N67" s="73"/>
      <c r="O67" s="66">
        <f t="shared" si="22"/>
        <v>1184.4</v>
      </c>
      <c r="P67" s="120">
        <v>1148.9</v>
      </c>
      <c r="Q67" s="73">
        <v>35.5</v>
      </c>
      <c r="R67" s="68"/>
      <c r="S67" s="68"/>
      <c r="T67" s="68"/>
    </row>
    <row r="68" spans="1:20" s="19" customFormat="1" ht="35.25" customHeight="1">
      <c r="A68" s="392" t="s">
        <v>170</v>
      </c>
      <c r="B68" s="68"/>
      <c r="C68" s="67"/>
      <c r="D68" s="144"/>
      <c r="E68" s="144"/>
      <c r="F68" s="67"/>
      <c r="G68" s="66">
        <f t="shared" si="21"/>
        <v>1456.9</v>
      </c>
      <c r="H68" s="120">
        <v>1413.2</v>
      </c>
      <c r="I68" s="27">
        <v>43.7</v>
      </c>
      <c r="J68" s="73"/>
      <c r="K68" s="66">
        <f t="shared" si="23"/>
        <v>1455.6000000000001</v>
      </c>
      <c r="L68" s="120">
        <v>1411.9</v>
      </c>
      <c r="M68" s="27">
        <v>43.7</v>
      </c>
      <c r="N68" s="73"/>
      <c r="O68" s="66">
        <f t="shared" si="22"/>
        <v>1455.6000000000001</v>
      </c>
      <c r="P68" s="120">
        <v>1411.9</v>
      </c>
      <c r="Q68" s="73">
        <v>43.7</v>
      </c>
      <c r="R68" s="73"/>
      <c r="S68" s="68"/>
      <c r="T68" s="68"/>
    </row>
    <row r="69" spans="1:20" s="19" customFormat="1" ht="51">
      <c r="A69" s="392" t="s">
        <v>171</v>
      </c>
      <c r="B69" s="68"/>
      <c r="C69" s="67"/>
      <c r="D69" s="144"/>
      <c r="E69" s="144"/>
      <c r="F69" s="67"/>
      <c r="G69" s="66">
        <f t="shared" si="21"/>
        <v>1000</v>
      </c>
      <c r="H69" s="120">
        <v>970</v>
      </c>
      <c r="I69" s="27">
        <v>30</v>
      </c>
      <c r="J69" s="73"/>
      <c r="K69" s="66">
        <f t="shared" si="23"/>
        <v>987.1</v>
      </c>
      <c r="L69" s="120">
        <v>957.5</v>
      </c>
      <c r="M69" s="27">
        <v>29.6</v>
      </c>
      <c r="N69" s="73"/>
      <c r="O69" s="66">
        <f t="shared" si="22"/>
        <v>987.1</v>
      </c>
      <c r="P69" s="120">
        <v>957.5</v>
      </c>
      <c r="Q69" s="73">
        <v>29.6</v>
      </c>
      <c r="R69" s="73"/>
      <c r="S69" s="73"/>
      <c r="T69" s="68"/>
    </row>
    <row r="70" spans="1:20" s="19" customFormat="1" ht="39.75" customHeight="1">
      <c r="A70" s="392" t="s">
        <v>172</v>
      </c>
      <c r="B70" s="68"/>
      <c r="C70" s="67"/>
      <c r="D70" s="144"/>
      <c r="E70" s="144"/>
      <c r="F70" s="67"/>
      <c r="G70" s="66">
        <f t="shared" si="21"/>
        <v>1030.9</v>
      </c>
      <c r="H70" s="120">
        <v>1000</v>
      </c>
      <c r="I70" s="27">
        <v>30.9</v>
      </c>
      <c r="J70" s="73"/>
      <c r="K70" s="66">
        <f t="shared" si="23"/>
        <v>1024.3</v>
      </c>
      <c r="L70" s="120">
        <v>993.6</v>
      </c>
      <c r="M70" s="27">
        <v>30.7</v>
      </c>
      <c r="N70" s="73"/>
      <c r="O70" s="66">
        <f t="shared" si="22"/>
        <v>1024.3</v>
      </c>
      <c r="P70" s="120">
        <v>993.6</v>
      </c>
      <c r="Q70" s="73">
        <v>30.7</v>
      </c>
      <c r="R70" s="73"/>
      <c r="S70" s="73"/>
      <c r="T70" s="68"/>
    </row>
    <row r="71" spans="1:20" ht="40.5">
      <c r="A71" s="175" t="s">
        <v>320</v>
      </c>
      <c r="B71" s="176" t="s">
        <v>321</v>
      </c>
      <c r="C71" s="177"/>
      <c r="D71" s="176"/>
      <c r="E71" s="177"/>
      <c r="F71" s="177"/>
      <c r="G71" s="109">
        <f aca="true" t="shared" si="24" ref="G71:R71">SUM(G72)</f>
        <v>404061.2</v>
      </c>
      <c r="H71" s="109">
        <f>SUM(H72)</f>
        <v>404061.2</v>
      </c>
      <c r="I71" s="109">
        <f t="shared" si="24"/>
        <v>0</v>
      </c>
      <c r="J71" s="109">
        <f t="shared" si="24"/>
        <v>0</v>
      </c>
      <c r="K71" s="109">
        <f t="shared" si="24"/>
        <v>403872.2</v>
      </c>
      <c r="L71" s="109">
        <f t="shared" si="24"/>
        <v>403872.2</v>
      </c>
      <c r="M71" s="109">
        <f t="shared" si="24"/>
        <v>0</v>
      </c>
      <c r="N71" s="109">
        <f t="shared" si="24"/>
        <v>0</v>
      </c>
      <c r="O71" s="109">
        <f t="shared" si="24"/>
        <v>403872.2</v>
      </c>
      <c r="P71" s="109">
        <f t="shared" si="24"/>
        <v>403872.2</v>
      </c>
      <c r="Q71" s="109">
        <f t="shared" si="24"/>
        <v>0</v>
      </c>
      <c r="R71" s="109">
        <f t="shared" si="24"/>
        <v>0</v>
      </c>
      <c r="S71" s="84">
        <f>L71/H71*100</f>
        <v>99.95322490751401</v>
      </c>
      <c r="T71" s="84">
        <f>P71/L71*100</f>
        <v>100</v>
      </c>
    </row>
    <row r="72" spans="1:20" ht="41.25" customHeight="1">
      <c r="A72" s="30" t="s">
        <v>324</v>
      </c>
      <c r="B72" s="27" t="s">
        <v>321</v>
      </c>
      <c r="C72" s="51" t="s">
        <v>325</v>
      </c>
      <c r="D72" s="27"/>
      <c r="E72" s="50"/>
      <c r="F72" s="50"/>
      <c r="G72" s="27">
        <f aca="true" t="shared" si="25" ref="G72:Q72">G73+G77</f>
        <v>404061.2</v>
      </c>
      <c r="H72" s="82">
        <f t="shared" si="25"/>
        <v>404061.2</v>
      </c>
      <c r="I72" s="27">
        <f t="shared" si="25"/>
        <v>0</v>
      </c>
      <c r="J72" s="27">
        <f>J73+J77</f>
        <v>0</v>
      </c>
      <c r="K72" s="27">
        <f t="shared" si="25"/>
        <v>403872.2</v>
      </c>
      <c r="L72" s="82">
        <f t="shared" si="25"/>
        <v>403872.2</v>
      </c>
      <c r="M72" s="27">
        <f t="shared" si="25"/>
        <v>0</v>
      </c>
      <c r="N72" s="27">
        <f>N73+N77</f>
        <v>0</v>
      </c>
      <c r="O72" s="27">
        <f t="shared" si="25"/>
        <v>403872.2</v>
      </c>
      <c r="P72" s="82">
        <f t="shared" si="25"/>
        <v>403872.2</v>
      </c>
      <c r="Q72" s="27">
        <f t="shared" si="25"/>
        <v>0</v>
      </c>
      <c r="R72" s="27">
        <f>R73+R77</f>
        <v>0</v>
      </c>
      <c r="S72" s="27">
        <f>L72/H72*100</f>
        <v>99.95322490751401</v>
      </c>
      <c r="T72" s="27">
        <f>(O72/K72)*100</f>
        <v>100</v>
      </c>
    </row>
    <row r="73" spans="1:20" ht="14.25" customHeight="1">
      <c r="A73" s="27" t="s">
        <v>13</v>
      </c>
      <c r="B73" s="27" t="s">
        <v>321</v>
      </c>
      <c r="C73" s="51" t="s">
        <v>325</v>
      </c>
      <c r="D73" s="51" t="s">
        <v>347</v>
      </c>
      <c r="E73" s="51"/>
      <c r="F73" s="51"/>
      <c r="G73" s="27">
        <f>G74</f>
        <v>1.2</v>
      </c>
      <c r="H73" s="82">
        <f>H74</f>
        <v>1.2</v>
      </c>
      <c r="I73" s="27"/>
      <c r="J73" s="27"/>
      <c r="K73" s="27">
        <f>K74</f>
        <v>1.2</v>
      </c>
      <c r="L73" s="82">
        <f>L74</f>
        <v>1.2</v>
      </c>
      <c r="M73" s="27"/>
      <c r="N73" s="27"/>
      <c r="O73" s="27">
        <f>O74</f>
        <v>1.2</v>
      </c>
      <c r="P73" s="82">
        <f>P74</f>
        <v>1.2</v>
      </c>
      <c r="Q73" s="27"/>
      <c r="R73" s="27"/>
      <c r="S73" s="27">
        <f>L73/H73*100</f>
        <v>100</v>
      </c>
      <c r="T73" s="27">
        <f>(O73/K73)*100</f>
        <v>100</v>
      </c>
    </row>
    <row r="74" spans="1:20" ht="15.75" customHeight="1">
      <c r="A74" s="29" t="s">
        <v>14</v>
      </c>
      <c r="B74" s="27" t="s">
        <v>321</v>
      </c>
      <c r="C74" s="51" t="s">
        <v>325</v>
      </c>
      <c r="D74" s="51" t="s">
        <v>347</v>
      </c>
      <c r="E74" s="51" t="s">
        <v>21</v>
      </c>
      <c r="F74" s="51"/>
      <c r="G74" s="27">
        <f>G75</f>
        <v>1.2</v>
      </c>
      <c r="H74" s="82">
        <f>H75</f>
        <v>1.2</v>
      </c>
      <c r="I74" s="27"/>
      <c r="J74" s="27"/>
      <c r="K74" s="27">
        <f>K75</f>
        <v>1.2</v>
      </c>
      <c r="L74" s="82">
        <f>L75</f>
        <v>1.2</v>
      </c>
      <c r="M74" s="27"/>
      <c r="N74" s="27"/>
      <c r="O74" s="27">
        <f>O75</f>
        <v>1.2</v>
      </c>
      <c r="P74" s="82">
        <f>P75</f>
        <v>1.2</v>
      </c>
      <c r="Q74" s="27"/>
      <c r="R74" s="27"/>
      <c r="S74" s="27"/>
      <c r="T74" s="27"/>
    </row>
    <row r="75" spans="1:20" ht="12.75">
      <c r="A75" s="29" t="s">
        <v>345</v>
      </c>
      <c r="B75" s="27" t="s">
        <v>321</v>
      </c>
      <c r="C75" s="51" t="s">
        <v>325</v>
      </c>
      <c r="D75" s="51" t="s">
        <v>347</v>
      </c>
      <c r="E75" s="51" t="s">
        <v>21</v>
      </c>
      <c r="F75" s="51" t="s">
        <v>346</v>
      </c>
      <c r="G75" s="27">
        <f>SUM(H75+I75)</f>
        <v>1.2</v>
      </c>
      <c r="H75" s="82">
        <f>SUM(H76)</f>
        <v>1.2</v>
      </c>
      <c r="I75" s="27"/>
      <c r="J75" s="27"/>
      <c r="K75" s="27">
        <f>SUM(L75+M75)</f>
        <v>1.2</v>
      </c>
      <c r="L75" s="82">
        <f>SUM(L76)</f>
        <v>1.2</v>
      </c>
      <c r="M75" s="27"/>
      <c r="N75" s="27"/>
      <c r="O75" s="27">
        <f>SUM(P75+Q75)</f>
        <v>1.2</v>
      </c>
      <c r="P75" s="82">
        <f>P76</f>
        <v>1.2</v>
      </c>
      <c r="Q75" s="27"/>
      <c r="R75" s="27"/>
      <c r="S75" s="27"/>
      <c r="T75" s="27"/>
    </row>
    <row r="76" spans="1:20" s="19" customFormat="1" ht="12.75">
      <c r="A76" s="65" t="s">
        <v>155</v>
      </c>
      <c r="B76" s="68"/>
      <c r="C76" s="67"/>
      <c r="D76" s="67"/>
      <c r="E76" s="67"/>
      <c r="F76" s="67"/>
      <c r="G76" s="68"/>
      <c r="H76" s="83">
        <v>1.2</v>
      </c>
      <c r="I76" s="27"/>
      <c r="J76" s="68"/>
      <c r="K76" s="68"/>
      <c r="L76" s="83">
        <v>1.2</v>
      </c>
      <c r="M76" s="27"/>
      <c r="N76" s="68"/>
      <c r="O76" s="73"/>
      <c r="P76" s="120">
        <v>1.2</v>
      </c>
      <c r="Q76" s="68"/>
      <c r="R76" s="68"/>
      <c r="S76" s="68"/>
      <c r="T76" s="68"/>
    </row>
    <row r="77" spans="1:20" ht="12.75">
      <c r="A77" s="29" t="s">
        <v>328</v>
      </c>
      <c r="B77" s="27" t="s">
        <v>321</v>
      </c>
      <c r="C77" s="51" t="s">
        <v>325</v>
      </c>
      <c r="D77" s="51">
        <v>10</v>
      </c>
      <c r="E77" s="50"/>
      <c r="F77" s="50"/>
      <c r="G77" s="27">
        <f>SUM(G78)</f>
        <v>404060</v>
      </c>
      <c r="H77" s="82">
        <f>SUM(H78)</f>
        <v>404060</v>
      </c>
      <c r="I77" s="27"/>
      <c r="J77" s="27"/>
      <c r="K77" s="27">
        <f>SUM(K78)</f>
        <v>403871</v>
      </c>
      <c r="L77" s="82">
        <f>SUM(L78)</f>
        <v>403871</v>
      </c>
      <c r="M77" s="27"/>
      <c r="N77" s="27"/>
      <c r="O77" s="27">
        <f>SUM(O78)</f>
        <v>403871</v>
      </c>
      <c r="P77" s="82">
        <f>SUM(P78)</f>
        <v>403871</v>
      </c>
      <c r="Q77" s="27"/>
      <c r="R77" s="27"/>
      <c r="S77" s="27"/>
      <c r="T77" s="27"/>
    </row>
    <row r="78" spans="1:20" ht="12.75">
      <c r="A78" s="29" t="s">
        <v>12</v>
      </c>
      <c r="B78" s="27" t="s">
        <v>321</v>
      </c>
      <c r="C78" s="51" t="s">
        <v>325</v>
      </c>
      <c r="D78" s="51">
        <v>10</v>
      </c>
      <c r="E78" s="51" t="s">
        <v>331</v>
      </c>
      <c r="F78" s="50"/>
      <c r="G78" s="27">
        <f>SUM(G79)</f>
        <v>404060</v>
      </c>
      <c r="H78" s="82">
        <f>SUM(H79)</f>
        <v>404060</v>
      </c>
      <c r="I78" s="27"/>
      <c r="J78" s="27"/>
      <c r="K78" s="27">
        <f>SUM(K79)</f>
        <v>403871</v>
      </c>
      <c r="L78" s="82">
        <f>SUM(L79)</f>
        <v>403871</v>
      </c>
      <c r="M78" s="27"/>
      <c r="N78" s="27"/>
      <c r="O78" s="27">
        <f>SUM(O79)</f>
        <v>403871</v>
      </c>
      <c r="P78" s="82">
        <f>SUM(P79)</f>
        <v>403871</v>
      </c>
      <c r="Q78" s="27"/>
      <c r="R78" s="27"/>
      <c r="S78" s="27"/>
      <c r="T78" s="27"/>
    </row>
    <row r="79" spans="1:20" ht="12.75">
      <c r="A79" s="29" t="s">
        <v>332</v>
      </c>
      <c r="B79" s="27" t="s">
        <v>321</v>
      </c>
      <c r="C79" s="51" t="s">
        <v>325</v>
      </c>
      <c r="D79" s="55">
        <v>10</v>
      </c>
      <c r="E79" s="51" t="s">
        <v>331</v>
      </c>
      <c r="F79" s="51" t="s">
        <v>333</v>
      </c>
      <c r="G79" s="27">
        <f>SUM(H79+I79)</f>
        <v>404060</v>
      </c>
      <c r="H79" s="82">
        <f>H80</f>
        <v>404060</v>
      </c>
      <c r="I79" s="27"/>
      <c r="J79" s="27"/>
      <c r="K79" s="27">
        <f>SUM(L79+M79)</f>
        <v>403871</v>
      </c>
      <c r="L79" s="82">
        <f>SUM(L80)</f>
        <v>403871</v>
      </c>
      <c r="M79" s="27"/>
      <c r="N79" s="27"/>
      <c r="O79" s="27">
        <f>SUM(P79+Q79)</f>
        <v>403871</v>
      </c>
      <c r="P79" s="82">
        <f>SUM(P80)</f>
        <v>403871</v>
      </c>
      <c r="Q79" s="27"/>
      <c r="R79" s="27"/>
      <c r="S79" s="27">
        <f>L79/H79*100</f>
        <v>99.95322476859873</v>
      </c>
      <c r="T79" s="27">
        <f>(O79/K79)*100</f>
        <v>100</v>
      </c>
    </row>
    <row r="80" spans="1:20" s="19" customFormat="1" ht="12.75">
      <c r="A80" s="65" t="s">
        <v>332</v>
      </c>
      <c r="B80" s="68"/>
      <c r="C80" s="67"/>
      <c r="D80" s="150"/>
      <c r="E80" s="67"/>
      <c r="F80" s="67"/>
      <c r="G80" s="68"/>
      <c r="H80" s="83">
        <f>364060+40000</f>
        <v>404060</v>
      </c>
      <c r="I80" s="27"/>
      <c r="J80" s="68"/>
      <c r="K80" s="68"/>
      <c r="L80" s="83">
        <v>403871</v>
      </c>
      <c r="M80" s="27"/>
      <c r="N80" s="68"/>
      <c r="O80" s="68"/>
      <c r="P80" s="83">
        <v>403871</v>
      </c>
      <c r="Q80" s="68"/>
      <c r="R80" s="68"/>
      <c r="S80" s="68"/>
      <c r="T80" s="68"/>
    </row>
    <row r="81" spans="1:20" ht="40.5">
      <c r="A81" s="173" t="s">
        <v>322</v>
      </c>
      <c r="B81" s="82" t="s">
        <v>323</v>
      </c>
      <c r="C81" s="174"/>
      <c r="D81" s="82"/>
      <c r="E81" s="174"/>
      <c r="F81" s="174"/>
      <c r="G81" s="84">
        <f>SUM(G82)</f>
        <v>76935.9</v>
      </c>
      <c r="H81" s="84">
        <f aca="true" t="shared" si="26" ref="H81:R81">SUM(H82)</f>
        <v>54108.3</v>
      </c>
      <c r="I81" s="84">
        <f t="shared" si="26"/>
        <v>0</v>
      </c>
      <c r="J81" s="84">
        <f t="shared" si="26"/>
        <v>22827.6</v>
      </c>
      <c r="K81" s="84">
        <f t="shared" si="26"/>
        <v>68617</v>
      </c>
      <c r="L81" s="84">
        <f t="shared" si="26"/>
        <v>47703.5</v>
      </c>
      <c r="M81" s="84">
        <f t="shared" si="26"/>
        <v>0</v>
      </c>
      <c r="N81" s="84">
        <f>SUM(N82)</f>
        <v>20913.5</v>
      </c>
      <c r="O81" s="84">
        <f>SUM(O82)</f>
        <v>68617</v>
      </c>
      <c r="P81" s="84">
        <f t="shared" si="26"/>
        <v>47703.5</v>
      </c>
      <c r="Q81" s="84">
        <f t="shared" si="26"/>
        <v>0</v>
      </c>
      <c r="R81" s="84">
        <f t="shared" si="26"/>
        <v>20913.5</v>
      </c>
      <c r="S81" s="84">
        <f>L81/H81*100</f>
        <v>88.16299902233114</v>
      </c>
      <c r="T81" s="84">
        <f>P81/L81*100</f>
        <v>100</v>
      </c>
    </row>
    <row r="82" spans="1:20" ht="27">
      <c r="A82" s="48" t="s">
        <v>324</v>
      </c>
      <c r="B82" s="27" t="s">
        <v>323</v>
      </c>
      <c r="C82" s="51" t="s">
        <v>325</v>
      </c>
      <c r="D82" s="27"/>
      <c r="E82" s="50"/>
      <c r="F82" s="50"/>
      <c r="G82" s="27">
        <f>G83</f>
        <v>76935.9</v>
      </c>
      <c r="H82" s="82">
        <f aca="true" t="shared" si="27" ref="H82:J84">H83</f>
        <v>54108.3</v>
      </c>
      <c r="I82" s="27">
        <f t="shared" si="27"/>
        <v>0</v>
      </c>
      <c r="J82" s="27">
        <f t="shared" si="27"/>
        <v>22827.6</v>
      </c>
      <c r="K82" s="27">
        <f aca="true" t="shared" si="28" ref="K82:N84">K83</f>
        <v>68617</v>
      </c>
      <c r="L82" s="82">
        <f t="shared" si="28"/>
        <v>47703.5</v>
      </c>
      <c r="M82" s="27">
        <f t="shared" si="28"/>
        <v>0</v>
      </c>
      <c r="N82" s="27">
        <f t="shared" si="28"/>
        <v>20913.5</v>
      </c>
      <c r="O82" s="27">
        <f aca="true" t="shared" si="29" ref="O82:R84">O83</f>
        <v>68617</v>
      </c>
      <c r="P82" s="82">
        <f t="shared" si="29"/>
        <v>47703.5</v>
      </c>
      <c r="Q82" s="27">
        <f t="shared" si="29"/>
        <v>0</v>
      </c>
      <c r="R82" s="27">
        <f t="shared" si="29"/>
        <v>20913.5</v>
      </c>
      <c r="S82" s="27">
        <f>L82/H82*100</f>
        <v>88.16299902233114</v>
      </c>
      <c r="T82" s="27">
        <f>P82/L82*100</f>
        <v>100</v>
      </c>
    </row>
    <row r="83" spans="1:20" ht="12.75">
      <c r="A83" s="27" t="s">
        <v>328</v>
      </c>
      <c r="B83" s="27" t="s">
        <v>323</v>
      </c>
      <c r="C83" s="49" t="s">
        <v>325</v>
      </c>
      <c r="D83" s="49" t="s">
        <v>329</v>
      </c>
      <c r="E83" s="51"/>
      <c r="F83" s="51"/>
      <c r="G83" s="27">
        <f>G84</f>
        <v>76935.9</v>
      </c>
      <c r="H83" s="82">
        <f t="shared" si="27"/>
        <v>54108.3</v>
      </c>
      <c r="I83" s="27">
        <f t="shared" si="27"/>
        <v>0</v>
      </c>
      <c r="J83" s="27">
        <f t="shared" si="27"/>
        <v>22827.6</v>
      </c>
      <c r="K83" s="27">
        <f t="shared" si="28"/>
        <v>68617</v>
      </c>
      <c r="L83" s="82">
        <f t="shared" si="28"/>
        <v>47703.5</v>
      </c>
      <c r="M83" s="27">
        <f t="shared" si="28"/>
        <v>0</v>
      </c>
      <c r="N83" s="27">
        <f t="shared" si="28"/>
        <v>20913.5</v>
      </c>
      <c r="O83" s="27">
        <f t="shared" si="29"/>
        <v>68617</v>
      </c>
      <c r="P83" s="82">
        <f t="shared" si="29"/>
        <v>47703.5</v>
      </c>
      <c r="Q83" s="27">
        <f t="shared" si="29"/>
        <v>0</v>
      </c>
      <c r="R83" s="27">
        <f t="shared" si="29"/>
        <v>20913.5</v>
      </c>
      <c r="S83" s="27"/>
      <c r="T83" s="27"/>
    </row>
    <row r="84" spans="1:20" ht="12.75">
      <c r="A84" s="27" t="s">
        <v>330</v>
      </c>
      <c r="B84" s="27" t="s">
        <v>323</v>
      </c>
      <c r="C84" s="49" t="s">
        <v>325</v>
      </c>
      <c r="D84" s="49" t="s">
        <v>329</v>
      </c>
      <c r="E84" s="51" t="s">
        <v>331</v>
      </c>
      <c r="F84" s="51"/>
      <c r="G84" s="27">
        <f>G85</f>
        <v>76935.9</v>
      </c>
      <c r="H84" s="82">
        <f>H85</f>
        <v>54108.3</v>
      </c>
      <c r="I84" s="27">
        <f t="shared" si="27"/>
        <v>0</v>
      </c>
      <c r="J84" s="27">
        <f t="shared" si="27"/>
        <v>22827.6</v>
      </c>
      <c r="K84" s="27">
        <f t="shared" si="28"/>
        <v>68617</v>
      </c>
      <c r="L84" s="82">
        <f t="shared" si="28"/>
        <v>47703.5</v>
      </c>
      <c r="M84" s="27">
        <f t="shared" si="28"/>
        <v>0</v>
      </c>
      <c r="N84" s="27">
        <f t="shared" si="28"/>
        <v>20913.5</v>
      </c>
      <c r="O84" s="27">
        <f t="shared" si="29"/>
        <v>68617</v>
      </c>
      <c r="P84" s="82">
        <f t="shared" si="29"/>
        <v>47703.5</v>
      </c>
      <c r="Q84" s="27">
        <f t="shared" si="29"/>
        <v>0</v>
      </c>
      <c r="R84" s="27">
        <f t="shared" si="29"/>
        <v>20913.5</v>
      </c>
      <c r="S84" s="27"/>
      <c r="T84" s="27"/>
    </row>
    <row r="85" spans="1:20" ht="12.75">
      <c r="A85" s="27" t="s">
        <v>332</v>
      </c>
      <c r="B85" s="27" t="s">
        <v>323</v>
      </c>
      <c r="C85" s="49" t="s">
        <v>325</v>
      </c>
      <c r="D85" s="49" t="s">
        <v>329</v>
      </c>
      <c r="E85" s="51" t="s">
        <v>331</v>
      </c>
      <c r="F85" s="51" t="s">
        <v>333</v>
      </c>
      <c r="G85" s="27">
        <f>SUM(H85+I85+J85)</f>
        <v>76935.9</v>
      </c>
      <c r="H85" s="82">
        <f>SUM(H86+H87)</f>
        <v>54108.3</v>
      </c>
      <c r="I85" s="27">
        <f>SUM(I86+I87)</f>
        <v>0</v>
      </c>
      <c r="J85" s="27">
        <f>SUM(J86+J87)</f>
        <v>22827.6</v>
      </c>
      <c r="K85" s="27">
        <f>SUM(L85+M85+N85)</f>
        <v>68617</v>
      </c>
      <c r="L85" s="82">
        <f>SUM(L86+L87)</f>
        <v>47703.5</v>
      </c>
      <c r="M85" s="27">
        <f>SUM(M86+M87)</f>
        <v>0</v>
      </c>
      <c r="N85" s="27">
        <f>SUM(N86+N87)</f>
        <v>20913.5</v>
      </c>
      <c r="O85" s="27">
        <f>SUM(P85+Q85+R85)</f>
        <v>68617</v>
      </c>
      <c r="P85" s="82">
        <f>SUM(P86+P87)</f>
        <v>47703.5</v>
      </c>
      <c r="Q85" s="27">
        <f>SUM(Q86+Q87)</f>
        <v>0</v>
      </c>
      <c r="R85" s="27">
        <f>SUM(R86+R87)</f>
        <v>20913.5</v>
      </c>
      <c r="S85" s="27">
        <f>L85/H85*100</f>
        <v>88.16299902233114</v>
      </c>
      <c r="T85" s="27">
        <f>P85/L85*100</f>
        <v>100</v>
      </c>
    </row>
    <row r="86" spans="1:20" s="19" customFormat="1" ht="38.25">
      <c r="A86" s="391" t="s">
        <v>154</v>
      </c>
      <c r="B86" s="68"/>
      <c r="C86" s="144"/>
      <c r="D86" s="144"/>
      <c r="E86" s="67"/>
      <c r="F86" s="67"/>
      <c r="G86" s="68">
        <f>H86+I86+J86</f>
        <v>76091.9</v>
      </c>
      <c r="H86" s="83">
        <v>53264.3</v>
      </c>
      <c r="I86" s="27">
        <v>0</v>
      </c>
      <c r="J86" s="68">
        <v>22827.6</v>
      </c>
      <c r="K86" s="68">
        <f>L86+M86+N86</f>
        <v>68498.8</v>
      </c>
      <c r="L86" s="120">
        <v>47585.3</v>
      </c>
      <c r="M86" s="27">
        <v>0</v>
      </c>
      <c r="N86" s="68">
        <v>20913.5</v>
      </c>
      <c r="O86" s="68">
        <f>P86+Q86+R86</f>
        <v>68498.8</v>
      </c>
      <c r="P86" s="120">
        <v>47585.3</v>
      </c>
      <c r="Q86" s="68">
        <v>0</v>
      </c>
      <c r="R86" s="68">
        <v>20913.5</v>
      </c>
      <c r="S86" s="27">
        <f>L86/H86*100</f>
        <v>89.33807447014229</v>
      </c>
      <c r="T86" s="27">
        <f>P86/L86*100</f>
        <v>100</v>
      </c>
    </row>
    <row r="87" spans="1:20" s="19" customFormat="1" ht="38.25">
      <c r="A87" s="391" t="s">
        <v>153</v>
      </c>
      <c r="B87" s="68"/>
      <c r="C87" s="144"/>
      <c r="D87" s="144"/>
      <c r="E87" s="67"/>
      <c r="F87" s="67"/>
      <c r="G87" s="68"/>
      <c r="H87" s="83">
        <v>844</v>
      </c>
      <c r="I87" s="27">
        <v>0</v>
      </c>
      <c r="J87" s="68">
        <v>0</v>
      </c>
      <c r="K87" s="68"/>
      <c r="L87" s="83">
        <v>118.2</v>
      </c>
      <c r="M87" s="27">
        <v>0</v>
      </c>
      <c r="N87" s="68">
        <v>0</v>
      </c>
      <c r="O87" s="68"/>
      <c r="P87" s="83">
        <v>118.2</v>
      </c>
      <c r="Q87" s="68">
        <v>0</v>
      </c>
      <c r="R87" s="68">
        <v>0</v>
      </c>
      <c r="S87" s="27">
        <f>L87/H87*100</f>
        <v>14.004739336492891</v>
      </c>
      <c r="T87" s="27">
        <f>P87/L87*100</f>
        <v>100</v>
      </c>
    </row>
    <row r="88" spans="1:20" ht="27">
      <c r="A88" s="173" t="s">
        <v>55</v>
      </c>
      <c r="B88" s="82" t="s">
        <v>56</v>
      </c>
      <c r="C88" s="174"/>
      <c r="D88" s="173"/>
      <c r="E88" s="82"/>
      <c r="F88" s="174"/>
      <c r="G88" s="84">
        <f aca="true" t="shared" si="30" ref="G88:R91">G89</f>
        <v>40000</v>
      </c>
      <c r="H88" s="84">
        <f t="shared" si="30"/>
        <v>20000</v>
      </c>
      <c r="I88" s="84">
        <f t="shared" si="30"/>
        <v>0</v>
      </c>
      <c r="J88" s="84">
        <f t="shared" si="30"/>
        <v>20000</v>
      </c>
      <c r="K88" s="84">
        <f t="shared" si="30"/>
        <v>45069.5</v>
      </c>
      <c r="L88" s="84">
        <f t="shared" si="30"/>
        <v>19480.5</v>
      </c>
      <c r="M88" s="84">
        <f t="shared" si="30"/>
        <v>0</v>
      </c>
      <c r="N88" s="84">
        <f t="shared" si="30"/>
        <v>25589</v>
      </c>
      <c r="O88" s="84">
        <f t="shared" si="30"/>
        <v>45069.5</v>
      </c>
      <c r="P88" s="84">
        <f t="shared" si="30"/>
        <v>19480.5</v>
      </c>
      <c r="Q88" s="84">
        <f t="shared" si="30"/>
        <v>0</v>
      </c>
      <c r="R88" s="84">
        <f t="shared" si="30"/>
        <v>25589</v>
      </c>
      <c r="S88" s="84">
        <f>L88/H88*100</f>
        <v>97.4025</v>
      </c>
      <c r="T88" s="84">
        <f>P88/L88*100</f>
        <v>100</v>
      </c>
    </row>
    <row r="89" spans="1:20" ht="39.75" customHeight="1">
      <c r="A89" s="30" t="s">
        <v>324</v>
      </c>
      <c r="B89" s="27" t="s">
        <v>56</v>
      </c>
      <c r="C89" s="50" t="s">
        <v>325</v>
      </c>
      <c r="D89" s="27" t="s">
        <v>329</v>
      </c>
      <c r="E89" s="50"/>
      <c r="F89" s="50"/>
      <c r="G89" s="27">
        <f t="shared" si="30"/>
        <v>40000</v>
      </c>
      <c r="H89" s="82">
        <f t="shared" si="30"/>
        <v>20000</v>
      </c>
      <c r="I89" s="27">
        <f t="shared" si="30"/>
        <v>0</v>
      </c>
      <c r="J89" s="27">
        <f t="shared" si="30"/>
        <v>20000</v>
      </c>
      <c r="K89" s="27">
        <f t="shared" si="30"/>
        <v>45069.5</v>
      </c>
      <c r="L89" s="82">
        <f t="shared" si="30"/>
        <v>19480.5</v>
      </c>
      <c r="M89" s="27">
        <f t="shared" si="30"/>
        <v>0</v>
      </c>
      <c r="N89" s="27">
        <f t="shared" si="30"/>
        <v>25589</v>
      </c>
      <c r="O89" s="27">
        <f t="shared" si="30"/>
        <v>45069.5</v>
      </c>
      <c r="P89" s="82">
        <f t="shared" si="30"/>
        <v>19480.5</v>
      </c>
      <c r="Q89" s="27">
        <f t="shared" si="30"/>
        <v>0</v>
      </c>
      <c r="R89" s="27">
        <f t="shared" si="30"/>
        <v>25589</v>
      </c>
      <c r="S89" s="27">
        <f>L89/H89*100</f>
        <v>97.4025</v>
      </c>
      <c r="T89" s="27">
        <f>P89/L89*100</f>
        <v>100</v>
      </c>
    </row>
    <row r="90" spans="1:20" ht="13.5">
      <c r="A90" s="48" t="s">
        <v>328</v>
      </c>
      <c r="B90" s="27" t="s">
        <v>56</v>
      </c>
      <c r="C90" s="51" t="s">
        <v>325</v>
      </c>
      <c r="D90" s="27" t="s">
        <v>329</v>
      </c>
      <c r="E90" s="50" t="s">
        <v>331</v>
      </c>
      <c r="F90" s="50"/>
      <c r="G90" s="27">
        <f t="shared" si="30"/>
        <v>40000</v>
      </c>
      <c r="H90" s="82">
        <f t="shared" si="30"/>
        <v>20000</v>
      </c>
      <c r="I90" s="27">
        <f t="shared" si="30"/>
        <v>0</v>
      </c>
      <c r="J90" s="27">
        <f t="shared" si="30"/>
        <v>20000</v>
      </c>
      <c r="K90" s="27">
        <f t="shared" si="30"/>
        <v>45069.5</v>
      </c>
      <c r="L90" s="82">
        <f t="shared" si="30"/>
        <v>19480.5</v>
      </c>
      <c r="M90" s="27">
        <f t="shared" si="30"/>
        <v>0</v>
      </c>
      <c r="N90" s="27">
        <f t="shared" si="30"/>
        <v>25589</v>
      </c>
      <c r="O90" s="27">
        <f t="shared" si="30"/>
        <v>45069.5</v>
      </c>
      <c r="P90" s="82">
        <f t="shared" si="30"/>
        <v>19480.5</v>
      </c>
      <c r="Q90" s="27">
        <f t="shared" si="30"/>
        <v>0</v>
      </c>
      <c r="R90" s="27">
        <f t="shared" si="30"/>
        <v>25589</v>
      </c>
      <c r="S90" s="27"/>
      <c r="T90" s="27"/>
    </row>
    <row r="91" spans="1:20" ht="12.75">
      <c r="A91" s="27" t="s">
        <v>330</v>
      </c>
      <c r="B91" s="27" t="s">
        <v>56</v>
      </c>
      <c r="C91" s="49" t="s">
        <v>325</v>
      </c>
      <c r="D91" s="49" t="s">
        <v>329</v>
      </c>
      <c r="E91" s="51" t="s">
        <v>331</v>
      </c>
      <c r="F91" s="51"/>
      <c r="G91" s="27">
        <f t="shared" si="30"/>
        <v>40000</v>
      </c>
      <c r="H91" s="82">
        <f t="shared" si="30"/>
        <v>20000</v>
      </c>
      <c r="I91" s="27">
        <f t="shared" si="30"/>
        <v>0</v>
      </c>
      <c r="J91" s="27">
        <f t="shared" si="30"/>
        <v>20000</v>
      </c>
      <c r="K91" s="27">
        <f t="shared" si="30"/>
        <v>45069.5</v>
      </c>
      <c r="L91" s="82">
        <f t="shared" si="30"/>
        <v>19480.5</v>
      </c>
      <c r="M91" s="27">
        <f t="shared" si="30"/>
        <v>0</v>
      </c>
      <c r="N91" s="27">
        <f t="shared" si="30"/>
        <v>25589</v>
      </c>
      <c r="O91" s="27">
        <f t="shared" si="30"/>
        <v>45069.5</v>
      </c>
      <c r="P91" s="82">
        <f t="shared" si="30"/>
        <v>19480.5</v>
      </c>
      <c r="Q91" s="27">
        <f t="shared" si="30"/>
        <v>0</v>
      </c>
      <c r="R91" s="27">
        <f t="shared" si="30"/>
        <v>25589</v>
      </c>
      <c r="S91" s="27"/>
      <c r="T91" s="27"/>
    </row>
    <row r="92" spans="1:20" ht="12.75">
      <c r="A92" s="27" t="s">
        <v>332</v>
      </c>
      <c r="B92" s="27" t="s">
        <v>57</v>
      </c>
      <c r="C92" s="49" t="s">
        <v>325</v>
      </c>
      <c r="D92" s="49" t="s">
        <v>329</v>
      </c>
      <c r="E92" s="51" t="s">
        <v>331</v>
      </c>
      <c r="F92" s="51" t="s">
        <v>333</v>
      </c>
      <c r="G92" s="27">
        <f>H92+I92+J92</f>
        <v>40000</v>
      </c>
      <c r="H92" s="82">
        <f>H93</f>
        <v>20000</v>
      </c>
      <c r="I92" s="27">
        <f>I93</f>
        <v>0</v>
      </c>
      <c r="J92" s="27">
        <f>J93</f>
        <v>20000</v>
      </c>
      <c r="K92" s="27">
        <f>L92+M92+N92</f>
        <v>45069.5</v>
      </c>
      <c r="L92" s="82">
        <f>L93</f>
        <v>19480.5</v>
      </c>
      <c r="M92" s="27">
        <f>M93</f>
        <v>0</v>
      </c>
      <c r="N92" s="27">
        <f>N93</f>
        <v>25589</v>
      </c>
      <c r="O92" s="27">
        <f>P92+Q92+R92</f>
        <v>45069.5</v>
      </c>
      <c r="P92" s="82">
        <f>P93</f>
        <v>19480.5</v>
      </c>
      <c r="Q92" s="27">
        <f>Q93</f>
        <v>0</v>
      </c>
      <c r="R92" s="27">
        <f>R93</f>
        <v>25589</v>
      </c>
      <c r="S92" s="27">
        <f>L92/H92*100</f>
        <v>97.4025</v>
      </c>
      <c r="T92" s="27">
        <f>P92/L92*100</f>
        <v>100</v>
      </c>
    </row>
    <row r="93" spans="1:20" s="19" customFormat="1" ht="25.5">
      <c r="A93" s="65" t="s">
        <v>152</v>
      </c>
      <c r="B93" s="68"/>
      <c r="C93" s="144"/>
      <c r="D93" s="144"/>
      <c r="E93" s="67"/>
      <c r="F93" s="67"/>
      <c r="G93" s="68">
        <f>H93+I93+J93</f>
        <v>40000</v>
      </c>
      <c r="H93" s="83">
        <v>20000</v>
      </c>
      <c r="I93" s="27">
        <v>0</v>
      </c>
      <c r="J93" s="68">
        <v>20000</v>
      </c>
      <c r="K93" s="68">
        <f>L93+M93+N93</f>
        <v>45069.5</v>
      </c>
      <c r="L93" s="83">
        <v>19480.5</v>
      </c>
      <c r="M93" s="27">
        <v>0</v>
      </c>
      <c r="N93" s="68">
        <v>25589</v>
      </c>
      <c r="O93" s="68">
        <f>P93+Q93+R93</f>
        <v>45069.5</v>
      </c>
      <c r="P93" s="83">
        <v>19480.5</v>
      </c>
      <c r="Q93" s="68"/>
      <c r="R93" s="68">
        <v>25589</v>
      </c>
      <c r="S93" s="27">
        <f>L93/H93*100</f>
        <v>97.4025</v>
      </c>
      <c r="T93" s="27">
        <f>P93/L93*100</f>
        <v>100</v>
      </c>
    </row>
  </sheetData>
  <mergeCells count="13">
    <mergeCell ref="D1:J1"/>
    <mergeCell ref="A5:A7"/>
    <mergeCell ref="B5:B7"/>
    <mergeCell ref="D2:J2"/>
    <mergeCell ref="G5:J5"/>
    <mergeCell ref="H6:J6"/>
    <mergeCell ref="T5:T7"/>
    <mergeCell ref="S5:S7"/>
    <mergeCell ref="C5:C7"/>
    <mergeCell ref="O5:Q5"/>
    <mergeCell ref="D5:D7"/>
    <mergeCell ref="E5:E7"/>
    <mergeCell ref="F5:F7"/>
  </mergeCells>
  <printOptions gridLines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workbookViewId="0" topLeftCell="A1">
      <pane ySplit="10" topLeftCell="BM11" activePane="bottomLeft" state="frozen"/>
      <selection pane="topLeft" activeCell="AB23" sqref="AB23"/>
      <selection pane="bottomLeft" activeCell="W39" sqref="W39"/>
    </sheetView>
  </sheetViews>
  <sheetFormatPr defaultColWidth="9.00390625" defaultRowHeight="12.75"/>
  <cols>
    <col min="1" max="1" width="46.25390625" style="3" customWidth="1"/>
    <col min="2" max="2" width="9.00390625" style="3" customWidth="1"/>
    <col min="3" max="3" width="3.875" style="5" customWidth="1"/>
    <col min="4" max="4" width="3.25390625" style="3" customWidth="1"/>
    <col min="5" max="5" width="3.25390625" style="5" customWidth="1"/>
    <col min="6" max="6" width="3.375" style="5" customWidth="1"/>
    <col min="7" max="7" width="8.625" style="3" customWidth="1"/>
    <col min="8" max="8" width="9.125" style="3" customWidth="1"/>
    <col min="9" max="9" width="10.125" style="3" customWidth="1"/>
    <col min="10" max="10" width="8.125" style="3" customWidth="1"/>
    <col min="11" max="11" width="9.125" style="3" customWidth="1"/>
    <col min="12" max="12" width="8.00390625" style="3" customWidth="1"/>
    <col min="13" max="13" width="8.75390625" style="3" customWidth="1"/>
    <col min="14" max="14" width="6.75390625" style="3" customWidth="1"/>
    <col min="15" max="15" width="8.75390625" style="3" customWidth="1"/>
    <col min="16" max="16" width="7.75390625" style="3" customWidth="1"/>
    <col min="17" max="17" width="9.25390625" style="3" customWidth="1"/>
    <col min="18" max="18" width="6.625" style="3" customWidth="1"/>
    <col min="19" max="19" width="6.00390625" style="3" customWidth="1"/>
    <col min="20" max="20" width="6.625" style="3" customWidth="1"/>
    <col min="21" max="16384" width="9.125" style="3" customWidth="1"/>
  </cols>
  <sheetData>
    <row r="1" ht="12.75">
      <c r="I1" s="284" t="s">
        <v>31</v>
      </c>
    </row>
    <row r="2" ht="12.75">
      <c r="I2" s="284" t="s">
        <v>168</v>
      </c>
    </row>
    <row r="3" ht="12.75">
      <c r="I3" s="284" t="s">
        <v>158</v>
      </c>
    </row>
    <row r="4" ht="12.75">
      <c r="R4" s="285" t="s">
        <v>32</v>
      </c>
    </row>
    <row r="5" spans="1:20" s="290" customFormat="1" ht="12.75">
      <c r="A5" s="549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286"/>
      <c r="H5" s="427"/>
      <c r="I5" s="287" t="s">
        <v>24</v>
      </c>
      <c r="J5" s="289"/>
      <c r="K5" s="427"/>
      <c r="L5" s="427"/>
      <c r="M5" s="288" t="s">
        <v>25</v>
      </c>
      <c r="N5" s="289"/>
      <c r="O5" s="530" t="s">
        <v>26</v>
      </c>
      <c r="P5" s="531"/>
      <c r="Q5" s="531"/>
      <c r="R5" s="548"/>
      <c r="S5" s="527" t="s">
        <v>66</v>
      </c>
      <c r="T5" s="527" t="s">
        <v>15</v>
      </c>
    </row>
    <row r="6" spans="1:20" s="290" customFormat="1" ht="12.75" customHeight="1">
      <c r="A6" s="550"/>
      <c r="B6" s="537"/>
      <c r="C6" s="537"/>
      <c r="D6" s="537"/>
      <c r="E6" s="537"/>
      <c r="F6" s="537"/>
      <c r="G6" s="555" t="s">
        <v>28</v>
      </c>
      <c r="H6" s="557" t="s">
        <v>27</v>
      </c>
      <c r="I6" s="558"/>
      <c r="J6" s="559"/>
      <c r="K6" s="555" t="s">
        <v>28</v>
      </c>
      <c r="L6" s="557" t="s">
        <v>27</v>
      </c>
      <c r="M6" s="558"/>
      <c r="N6" s="559"/>
      <c r="O6" s="555" t="s">
        <v>28</v>
      </c>
      <c r="P6" s="557" t="s">
        <v>27</v>
      </c>
      <c r="Q6" s="558"/>
      <c r="R6" s="559"/>
      <c r="S6" s="528"/>
      <c r="T6" s="528"/>
    </row>
    <row r="7" spans="1:20" s="290" customFormat="1" ht="38.25">
      <c r="A7" s="551"/>
      <c r="B7" s="538"/>
      <c r="C7" s="538"/>
      <c r="D7" s="538"/>
      <c r="E7" s="538"/>
      <c r="F7" s="538"/>
      <c r="G7" s="556"/>
      <c r="H7" s="41" t="s">
        <v>284</v>
      </c>
      <c r="I7" s="33" t="s">
        <v>29</v>
      </c>
      <c r="J7" s="291" t="s">
        <v>30</v>
      </c>
      <c r="K7" s="556"/>
      <c r="L7" s="41" t="s">
        <v>284</v>
      </c>
      <c r="M7" s="33" t="s">
        <v>29</v>
      </c>
      <c r="N7" s="291" t="s">
        <v>30</v>
      </c>
      <c r="O7" s="556"/>
      <c r="P7" s="41" t="s">
        <v>284</v>
      </c>
      <c r="Q7" s="33" t="s">
        <v>29</v>
      </c>
      <c r="R7" s="428" t="s">
        <v>30</v>
      </c>
      <c r="S7" s="529"/>
      <c r="T7" s="529"/>
    </row>
    <row r="8" spans="1:20" ht="12.75">
      <c r="A8" s="429" t="s">
        <v>34</v>
      </c>
      <c r="B8" s="4" t="s">
        <v>327</v>
      </c>
      <c r="G8" s="4">
        <f>H8+I8+J8</f>
        <v>643089.2000000001</v>
      </c>
      <c r="H8" s="4">
        <f>H11</f>
        <v>22192.5</v>
      </c>
      <c r="I8" s="430">
        <f>I11+I85</f>
        <v>617565.9</v>
      </c>
      <c r="J8" s="431">
        <f>J11+J85</f>
        <v>3330.7999999999997</v>
      </c>
      <c r="K8" s="4">
        <f>L8+M8+N8</f>
        <v>393312.80000000005</v>
      </c>
      <c r="L8" s="4">
        <f>L11</f>
        <v>16616.7</v>
      </c>
      <c r="M8" s="430">
        <f>M11+M85</f>
        <v>375146.2</v>
      </c>
      <c r="N8" s="431">
        <f>N11+N85</f>
        <v>1549.8999999999996</v>
      </c>
      <c r="O8" s="4">
        <f>P8+Q8+R8</f>
        <v>475271.39999999997</v>
      </c>
      <c r="P8" s="4">
        <f>P11</f>
        <v>4791</v>
      </c>
      <c r="Q8" s="430">
        <f>Q11+Q85</f>
        <v>467962.49999999994</v>
      </c>
      <c r="R8" s="431">
        <f>R11+R85</f>
        <v>2517.9000000000005</v>
      </c>
      <c r="S8" s="43">
        <f>M8/I8*100</f>
        <v>60.745938206756556</v>
      </c>
      <c r="T8" s="43">
        <f>Q8/M8*100</f>
        <v>124.74136749885776</v>
      </c>
    </row>
    <row r="9" spans="1:20" s="296" customFormat="1" ht="25.5">
      <c r="A9" s="432" t="s">
        <v>196</v>
      </c>
      <c r="C9" s="433"/>
      <c r="E9" s="433"/>
      <c r="F9" s="433"/>
      <c r="I9" s="434"/>
      <c r="M9" s="434"/>
      <c r="N9" s="4"/>
      <c r="Q9" s="434">
        <f>Q42</f>
        <v>1213.1</v>
      </c>
      <c r="R9" s="296">
        <f>R42</f>
        <v>12.3</v>
      </c>
      <c r="S9" s="373"/>
      <c r="T9" s="373"/>
    </row>
    <row r="10" spans="1:18" s="310" customFormat="1" ht="25.5">
      <c r="A10" s="435" t="s">
        <v>195</v>
      </c>
      <c r="B10" s="300"/>
      <c r="C10" s="436"/>
      <c r="E10" s="436"/>
      <c r="F10" s="436"/>
      <c r="G10" s="300"/>
      <c r="H10" s="300"/>
      <c r="I10" s="437"/>
      <c r="J10" s="300"/>
      <c r="K10" s="300"/>
      <c r="L10" s="300"/>
      <c r="M10" s="437"/>
      <c r="N10" s="4"/>
      <c r="O10" s="300"/>
      <c r="P10" s="300"/>
      <c r="Q10" s="437">
        <f>Q43</f>
        <v>119544.89999999998</v>
      </c>
      <c r="R10" s="300">
        <f>R43</f>
        <v>1237.9</v>
      </c>
    </row>
    <row r="11" spans="1:20" ht="40.5">
      <c r="A11" s="59" t="s">
        <v>324</v>
      </c>
      <c r="B11" s="43" t="s">
        <v>327</v>
      </c>
      <c r="C11" s="353" t="s">
        <v>325</v>
      </c>
      <c r="D11" s="43"/>
      <c r="E11" s="342"/>
      <c r="F11" s="342"/>
      <c r="G11" s="43">
        <f>G12+G22+G34+G38</f>
        <v>627565.6000000001</v>
      </c>
      <c r="H11" s="43">
        <f>H12+H22+H34+H38</f>
        <v>22192.5</v>
      </c>
      <c r="I11" s="292">
        <f>I12+I22+I34+I38</f>
        <v>602042.3</v>
      </c>
      <c r="J11" s="43">
        <f>J12+J22+J34+J38</f>
        <v>3330.7999999999997</v>
      </c>
      <c r="K11" s="43">
        <f>K12+K22+K34+K38</f>
        <v>381263</v>
      </c>
      <c r="L11" s="43">
        <f aca="true" t="shared" si="0" ref="L11:R11">L12+L22+L34+L38</f>
        <v>16616.7</v>
      </c>
      <c r="M11" s="292">
        <f t="shared" si="0"/>
        <v>363096.4</v>
      </c>
      <c r="N11" s="43">
        <f t="shared" si="0"/>
        <v>1549.8999999999996</v>
      </c>
      <c r="O11" s="43">
        <f t="shared" si="0"/>
        <v>463221.6</v>
      </c>
      <c r="P11" s="43">
        <f t="shared" si="0"/>
        <v>4791</v>
      </c>
      <c r="Q11" s="292">
        <f t="shared" si="0"/>
        <v>455912.69999999995</v>
      </c>
      <c r="R11" s="43">
        <f t="shared" si="0"/>
        <v>2517.9000000000005</v>
      </c>
      <c r="S11" s="43">
        <f>M11/I11*100</f>
        <v>60.310778827334886</v>
      </c>
      <c r="T11" s="43">
        <f>Q11/M11*100</f>
        <v>125.56244016740456</v>
      </c>
    </row>
    <row r="12" spans="1:20" ht="12.75">
      <c r="A12" s="45" t="s">
        <v>5</v>
      </c>
      <c r="B12" s="45" t="s">
        <v>327</v>
      </c>
      <c r="C12" s="301" t="s">
        <v>325</v>
      </c>
      <c r="D12" s="304" t="s">
        <v>368</v>
      </c>
      <c r="E12" s="44"/>
      <c r="F12" s="44"/>
      <c r="G12" s="45">
        <f>G13</f>
        <v>203258.7</v>
      </c>
      <c r="H12" s="45"/>
      <c r="I12" s="302">
        <f>I13</f>
        <v>203240.6</v>
      </c>
      <c r="J12" s="45">
        <f>J13</f>
        <v>18.1</v>
      </c>
      <c r="K12" s="45">
        <f aca="true" t="shared" si="1" ref="K12:R14">K13</f>
        <v>157267.8</v>
      </c>
      <c r="L12" s="45"/>
      <c r="M12" s="302">
        <f t="shared" si="1"/>
        <v>157267.8</v>
      </c>
      <c r="N12" s="45">
        <f t="shared" si="1"/>
        <v>0</v>
      </c>
      <c r="O12" s="45">
        <f t="shared" si="1"/>
        <v>157267.8</v>
      </c>
      <c r="P12" s="45"/>
      <c r="Q12" s="302">
        <f t="shared" si="1"/>
        <v>157267.8</v>
      </c>
      <c r="R12" s="45">
        <f t="shared" si="1"/>
        <v>0</v>
      </c>
      <c r="S12" s="45">
        <f>M12/I12*100</f>
        <v>77.38011007643158</v>
      </c>
      <c r="T12" s="45">
        <f>Q12/M12*100</f>
        <v>100</v>
      </c>
    </row>
    <row r="13" spans="1:20" ht="12.75">
      <c r="A13" s="52" t="s">
        <v>59</v>
      </c>
      <c r="B13" s="45" t="s">
        <v>327</v>
      </c>
      <c r="C13" s="301" t="s">
        <v>325</v>
      </c>
      <c r="D13" s="304" t="s">
        <v>368</v>
      </c>
      <c r="E13" s="304" t="s">
        <v>350</v>
      </c>
      <c r="F13" s="44"/>
      <c r="G13" s="45">
        <f>H13+I13+J13</f>
        <v>203258.7</v>
      </c>
      <c r="H13" s="45"/>
      <c r="I13" s="302">
        <f>I14+I18+I21</f>
        <v>203240.6</v>
      </c>
      <c r="J13" s="45">
        <f>J14+J18</f>
        <v>18.1</v>
      </c>
      <c r="K13" s="45">
        <f>L13+M13+N13</f>
        <v>157267.8</v>
      </c>
      <c r="L13" s="45"/>
      <c r="M13" s="302">
        <f>M14+M18+M21</f>
        <v>157267.8</v>
      </c>
      <c r="N13" s="45">
        <f>N14+N18</f>
        <v>0</v>
      </c>
      <c r="O13" s="45">
        <f>P13+Q13+R13</f>
        <v>157267.8</v>
      </c>
      <c r="P13" s="45"/>
      <c r="Q13" s="302">
        <f>Q14+Q18+Q21</f>
        <v>157267.8</v>
      </c>
      <c r="R13" s="45">
        <f>R14+R18</f>
        <v>0</v>
      </c>
      <c r="S13" s="45">
        <f>M13/I13*100</f>
        <v>77.38011007643158</v>
      </c>
      <c r="T13" s="45">
        <f>Q13/M13*100</f>
        <v>100</v>
      </c>
    </row>
    <row r="14" spans="1:20" ht="12.75">
      <c r="A14" s="52" t="s">
        <v>354</v>
      </c>
      <c r="B14" s="45" t="s">
        <v>327</v>
      </c>
      <c r="C14" s="301" t="s">
        <v>325</v>
      </c>
      <c r="D14" s="304" t="s">
        <v>368</v>
      </c>
      <c r="E14" s="304" t="s">
        <v>350</v>
      </c>
      <c r="F14" s="304" t="s">
        <v>355</v>
      </c>
      <c r="G14" s="45">
        <f>G15</f>
        <v>1450.6</v>
      </c>
      <c r="H14" s="45"/>
      <c r="I14" s="302">
        <f>I15</f>
        <v>1450.6</v>
      </c>
      <c r="J14" s="45">
        <f>J15</f>
        <v>0</v>
      </c>
      <c r="K14" s="45">
        <f t="shared" si="1"/>
        <v>551.4</v>
      </c>
      <c r="L14" s="45"/>
      <c r="M14" s="302">
        <f t="shared" si="1"/>
        <v>551.4</v>
      </c>
      <c r="N14" s="45">
        <f t="shared" si="1"/>
        <v>0</v>
      </c>
      <c r="O14" s="45">
        <f t="shared" si="1"/>
        <v>551.4</v>
      </c>
      <c r="P14" s="45"/>
      <c r="Q14" s="302">
        <f t="shared" si="1"/>
        <v>551.4</v>
      </c>
      <c r="R14" s="45">
        <f t="shared" si="1"/>
        <v>0</v>
      </c>
      <c r="S14" s="45">
        <f>M14/I14*100</f>
        <v>38.011857162553426</v>
      </c>
      <c r="T14" s="45">
        <f>Q14/M14*100</f>
        <v>100</v>
      </c>
    </row>
    <row r="15" spans="1:20" ht="12.75">
      <c r="A15" s="52" t="s">
        <v>280</v>
      </c>
      <c r="B15" s="45" t="s">
        <v>327</v>
      </c>
      <c r="C15" s="301" t="s">
        <v>325</v>
      </c>
      <c r="D15" s="304" t="s">
        <v>368</v>
      </c>
      <c r="E15" s="304" t="s">
        <v>350</v>
      </c>
      <c r="F15" s="304" t="s">
        <v>355</v>
      </c>
      <c r="G15" s="45">
        <f>H15+I15+J15</f>
        <v>1450.6</v>
      </c>
      <c r="H15" s="45"/>
      <c r="I15" s="302">
        <f>I16+I17</f>
        <v>1450.6</v>
      </c>
      <c r="J15" s="45">
        <f>J16+J17</f>
        <v>0</v>
      </c>
      <c r="K15" s="45">
        <f>L15+M15+N15</f>
        <v>551.4</v>
      </c>
      <c r="L15" s="45"/>
      <c r="M15" s="302">
        <f>M16+M17</f>
        <v>551.4</v>
      </c>
      <c r="N15" s="45">
        <f>N16+N17</f>
        <v>0</v>
      </c>
      <c r="O15" s="45">
        <f>P15+Q15+R15</f>
        <v>551.4</v>
      </c>
      <c r="P15" s="45"/>
      <c r="Q15" s="302">
        <f>Q16+Q17</f>
        <v>551.4</v>
      </c>
      <c r="R15" s="45">
        <f>R16+R17</f>
        <v>0</v>
      </c>
      <c r="S15" s="45">
        <f>M15/I15*100</f>
        <v>38.011857162553426</v>
      </c>
      <c r="T15" s="45">
        <f>Q15/M15*100</f>
        <v>100</v>
      </c>
    </row>
    <row r="16" spans="1:20" s="316" customFormat="1" ht="63.75">
      <c r="A16" s="442" t="s">
        <v>111</v>
      </c>
      <c r="B16" s="314"/>
      <c r="C16" s="312"/>
      <c r="D16" s="313"/>
      <c r="E16" s="313"/>
      <c r="F16" s="313"/>
      <c r="G16" s="314"/>
      <c r="H16" s="314"/>
      <c r="I16" s="315">
        <v>551.4</v>
      </c>
      <c r="J16" s="314">
        <v>0</v>
      </c>
      <c r="K16" s="314"/>
      <c r="L16" s="314"/>
      <c r="M16" s="315">
        <v>551.4</v>
      </c>
      <c r="N16" s="45">
        <v>0</v>
      </c>
      <c r="O16" s="314"/>
      <c r="P16" s="314"/>
      <c r="Q16" s="315">
        <v>551.4</v>
      </c>
      <c r="R16" s="314">
        <v>0</v>
      </c>
      <c r="S16" s="314"/>
      <c r="T16" s="314"/>
    </row>
    <row r="17" spans="1:20" s="316" customFormat="1" ht="54" customHeight="1">
      <c r="A17" s="442" t="s">
        <v>112</v>
      </c>
      <c r="B17" s="314"/>
      <c r="C17" s="312"/>
      <c r="D17" s="313"/>
      <c r="E17" s="313"/>
      <c r="F17" s="313"/>
      <c r="G17" s="314"/>
      <c r="H17" s="314"/>
      <c r="I17" s="315">
        <v>899.2</v>
      </c>
      <c r="J17" s="314">
        <v>0</v>
      </c>
      <c r="K17" s="314"/>
      <c r="L17" s="314"/>
      <c r="M17" s="315">
        <v>0</v>
      </c>
      <c r="N17" s="45">
        <v>0</v>
      </c>
      <c r="O17" s="314"/>
      <c r="P17" s="314"/>
      <c r="Q17" s="315">
        <v>0</v>
      </c>
      <c r="R17" s="314">
        <v>0</v>
      </c>
      <c r="S17" s="314"/>
      <c r="T17" s="314"/>
    </row>
    <row r="18" spans="1:20" ht="12.75">
      <c r="A18" s="443" t="s">
        <v>334</v>
      </c>
      <c r="B18" s="45" t="s">
        <v>327</v>
      </c>
      <c r="C18" s="301" t="s">
        <v>325</v>
      </c>
      <c r="D18" s="304" t="s">
        <v>368</v>
      </c>
      <c r="E18" s="304" t="s">
        <v>350</v>
      </c>
      <c r="F18" s="304" t="s">
        <v>335</v>
      </c>
      <c r="G18" s="45">
        <f>G19</f>
        <v>1808.1</v>
      </c>
      <c r="H18" s="45"/>
      <c r="I18" s="302">
        <f>I19</f>
        <v>1790</v>
      </c>
      <c r="J18" s="45">
        <f>J19</f>
        <v>18.1</v>
      </c>
      <c r="K18" s="45">
        <f>K19</f>
        <v>1</v>
      </c>
      <c r="L18" s="45"/>
      <c r="M18" s="302">
        <f>M19</f>
        <v>1</v>
      </c>
      <c r="N18" s="45">
        <f>N19</f>
        <v>0</v>
      </c>
      <c r="O18" s="45">
        <f>O19</f>
        <v>1</v>
      </c>
      <c r="P18" s="45"/>
      <c r="Q18" s="302">
        <f>Q19</f>
        <v>1</v>
      </c>
      <c r="R18" s="45">
        <f>R19</f>
        <v>0</v>
      </c>
      <c r="S18" s="45"/>
      <c r="T18" s="45"/>
    </row>
    <row r="19" spans="1:20" s="376" customFormat="1" ht="25.5">
      <c r="A19" s="516" t="s">
        <v>336</v>
      </c>
      <c r="B19" s="359" t="s">
        <v>327</v>
      </c>
      <c r="C19" s="357" t="s">
        <v>325</v>
      </c>
      <c r="D19" s="358" t="s">
        <v>368</v>
      </c>
      <c r="E19" s="358" t="s">
        <v>350</v>
      </c>
      <c r="F19" s="358" t="s">
        <v>335</v>
      </c>
      <c r="G19" s="359">
        <f>H19+I19+J19</f>
        <v>1808.1</v>
      </c>
      <c r="H19" s="359"/>
      <c r="I19" s="360">
        <f>I20</f>
        <v>1790</v>
      </c>
      <c r="J19" s="359">
        <f>J20</f>
        <v>18.1</v>
      </c>
      <c r="K19" s="359">
        <f>L19+M19+N19</f>
        <v>1</v>
      </c>
      <c r="L19" s="359"/>
      <c r="M19" s="360">
        <f>M20</f>
        <v>1</v>
      </c>
      <c r="N19" s="43">
        <f>N20</f>
        <v>0</v>
      </c>
      <c r="O19" s="359">
        <f>P19+Q19+R19</f>
        <v>1</v>
      </c>
      <c r="P19" s="359"/>
      <c r="Q19" s="360">
        <f>Q20</f>
        <v>1</v>
      </c>
      <c r="R19" s="359">
        <f>R20</f>
        <v>0</v>
      </c>
      <c r="S19" s="43">
        <f>M19/I19*100</f>
        <v>0.055865921787709494</v>
      </c>
      <c r="T19" s="517">
        <v>0</v>
      </c>
    </row>
    <row r="20" spans="1:20" s="454" customFormat="1" ht="51">
      <c r="A20" s="445" t="s">
        <v>113</v>
      </c>
      <c r="B20" s="446"/>
      <c r="C20" s="447"/>
      <c r="D20" s="448"/>
      <c r="E20" s="449"/>
      <c r="F20" s="449"/>
      <c r="G20" s="450">
        <f>H20+I20+J20</f>
        <v>1808.1</v>
      </c>
      <c r="H20" s="450"/>
      <c r="I20" s="451">
        <v>1790</v>
      </c>
      <c r="J20" s="452">
        <v>18.1</v>
      </c>
      <c r="K20" s="450">
        <f>L20+M20+N20</f>
        <v>1</v>
      </c>
      <c r="L20" s="450"/>
      <c r="M20" s="451">
        <v>1</v>
      </c>
      <c r="N20" s="453">
        <v>0</v>
      </c>
      <c r="O20" s="450">
        <f>P20+Q20+R20</f>
        <v>1</v>
      </c>
      <c r="P20" s="450"/>
      <c r="Q20" s="451">
        <v>1</v>
      </c>
      <c r="R20" s="452">
        <v>0</v>
      </c>
      <c r="S20" s="450"/>
      <c r="T20" s="450"/>
    </row>
    <row r="21" spans="1:20" ht="30" customHeight="1">
      <c r="A21" s="443" t="s">
        <v>140</v>
      </c>
      <c r="B21" s="45" t="s">
        <v>327</v>
      </c>
      <c r="C21" s="301" t="s">
        <v>325</v>
      </c>
      <c r="D21" s="304" t="s">
        <v>368</v>
      </c>
      <c r="E21" s="304" t="s">
        <v>350</v>
      </c>
      <c r="F21" s="304" t="s">
        <v>138</v>
      </c>
      <c r="G21" s="45">
        <f>H21+I21+J21</f>
        <v>200000</v>
      </c>
      <c r="H21" s="45"/>
      <c r="I21" s="302">
        <v>200000</v>
      </c>
      <c r="J21" s="45">
        <v>0</v>
      </c>
      <c r="K21" s="45">
        <f>L21+M21+N21</f>
        <v>156715.4</v>
      </c>
      <c r="L21" s="45"/>
      <c r="M21" s="302">
        <v>156715.4</v>
      </c>
      <c r="N21" s="45">
        <v>0</v>
      </c>
      <c r="O21" s="45">
        <f>P21+Q21+R21</f>
        <v>156715.4</v>
      </c>
      <c r="P21" s="45"/>
      <c r="Q21" s="302">
        <v>156715.4</v>
      </c>
      <c r="R21" s="45">
        <v>0</v>
      </c>
      <c r="S21" s="45">
        <f>M21/I21*100</f>
        <v>78.3577</v>
      </c>
      <c r="T21" s="45">
        <f>Q21/M21*100</f>
        <v>100</v>
      </c>
    </row>
    <row r="22" spans="1:20" ht="12.75">
      <c r="A22" s="455" t="s">
        <v>352</v>
      </c>
      <c r="B22" s="45" t="s">
        <v>327</v>
      </c>
      <c r="C22" s="301" t="s">
        <v>325</v>
      </c>
      <c r="D22" s="304" t="s">
        <v>350</v>
      </c>
      <c r="E22" s="304"/>
      <c r="F22" s="304"/>
      <c r="G22" s="45">
        <f>G23+G27</f>
        <v>57752.4</v>
      </c>
      <c r="H22" s="45"/>
      <c r="I22" s="302">
        <f aca="true" t="shared" si="2" ref="I22:R22">I23+I27</f>
        <v>57752.4</v>
      </c>
      <c r="J22" s="45">
        <f t="shared" si="2"/>
        <v>0</v>
      </c>
      <c r="K22" s="45">
        <f>K23+K27</f>
        <v>50143.6</v>
      </c>
      <c r="L22" s="45"/>
      <c r="M22" s="302">
        <f t="shared" si="2"/>
        <v>50143.6</v>
      </c>
      <c r="N22" s="45">
        <f t="shared" si="2"/>
        <v>0</v>
      </c>
      <c r="O22" s="45">
        <f t="shared" si="2"/>
        <v>50143.6</v>
      </c>
      <c r="P22" s="45"/>
      <c r="Q22" s="302">
        <f>Q23+Q27</f>
        <v>50143.6</v>
      </c>
      <c r="R22" s="45">
        <f t="shared" si="2"/>
        <v>0</v>
      </c>
      <c r="S22" s="45"/>
      <c r="T22" s="45"/>
    </row>
    <row r="23" spans="1:20" ht="12.75">
      <c r="A23" s="455" t="s">
        <v>351</v>
      </c>
      <c r="B23" s="45" t="s">
        <v>327</v>
      </c>
      <c r="C23" s="301" t="s">
        <v>325</v>
      </c>
      <c r="D23" s="304" t="s">
        <v>350</v>
      </c>
      <c r="E23" s="304" t="s">
        <v>347</v>
      </c>
      <c r="F23" s="304"/>
      <c r="G23" s="45">
        <f aca="true" t="shared" si="3" ref="G23:G28">I23+J23</f>
        <v>51510.4</v>
      </c>
      <c r="H23" s="45"/>
      <c r="I23" s="302">
        <f aca="true" t="shared" si="4" ref="I23:J25">I24</f>
        <v>51510.4</v>
      </c>
      <c r="J23" s="45">
        <f t="shared" si="4"/>
        <v>0</v>
      </c>
      <c r="K23" s="45">
        <f>M23+N23</f>
        <v>47289.6</v>
      </c>
      <c r="L23" s="45"/>
      <c r="M23" s="302">
        <f aca="true" t="shared" si="5" ref="M23:N25">M24</f>
        <v>47289.6</v>
      </c>
      <c r="N23" s="45">
        <f t="shared" si="5"/>
        <v>0</v>
      </c>
      <c r="O23" s="45">
        <f>Q23+R23</f>
        <v>47289.6</v>
      </c>
      <c r="P23" s="45"/>
      <c r="Q23" s="302">
        <f aca="true" t="shared" si="6" ref="Q23:R25">Q24</f>
        <v>47289.6</v>
      </c>
      <c r="R23" s="45">
        <f t="shared" si="6"/>
        <v>0</v>
      </c>
      <c r="S23" s="45"/>
      <c r="T23" s="45"/>
    </row>
    <row r="24" spans="1:20" ht="12.75">
      <c r="A24" s="52" t="s">
        <v>354</v>
      </c>
      <c r="B24" s="45" t="s">
        <v>327</v>
      </c>
      <c r="C24" s="301" t="s">
        <v>325</v>
      </c>
      <c r="D24" s="304" t="s">
        <v>350</v>
      </c>
      <c r="E24" s="304" t="s">
        <v>347</v>
      </c>
      <c r="F24" s="304" t="s">
        <v>355</v>
      </c>
      <c r="G24" s="45">
        <f t="shared" si="3"/>
        <v>51510.4</v>
      </c>
      <c r="H24" s="45"/>
      <c r="I24" s="302">
        <f t="shared" si="4"/>
        <v>51510.4</v>
      </c>
      <c r="J24" s="45">
        <f t="shared" si="4"/>
        <v>0</v>
      </c>
      <c r="K24" s="45">
        <f>M24+N24</f>
        <v>47289.6</v>
      </c>
      <c r="L24" s="45"/>
      <c r="M24" s="302">
        <f t="shared" si="5"/>
        <v>47289.6</v>
      </c>
      <c r="N24" s="45">
        <f t="shared" si="5"/>
        <v>0</v>
      </c>
      <c r="O24" s="45">
        <f>Q24+R24</f>
        <v>47289.6</v>
      </c>
      <c r="P24" s="45"/>
      <c r="Q24" s="302">
        <f t="shared" si="6"/>
        <v>47289.6</v>
      </c>
      <c r="R24" s="45">
        <f t="shared" si="6"/>
        <v>0</v>
      </c>
      <c r="S24" s="45"/>
      <c r="T24" s="45"/>
    </row>
    <row r="25" spans="1:20" ht="12.75">
      <c r="A25" s="52" t="s">
        <v>280</v>
      </c>
      <c r="B25" s="45" t="s">
        <v>327</v>
      </c>
      <c r="C25" s="301" t="s">
        <v>325</v>
      </c>
      <c r="D25" s="304" t="s">
        <v>350</v>
      </c>
      <c r="E25" s="304" t="s">
        <v>347</v>
      </c>
      <c r="F25" s="304" t="s">
        <v>355</v>
      </c>
      <c r="G25" s="45">
        <f>H25+I25+J25</f>
        <v>51510.4</v>
      </c>
      <c r="H25" s="45"/>
      <c r="I25" s="302">
        <f t="shared" si="4"/>
        <v>51510.4</v>
      </c>
      <c r="J25" s="45">
        <f t="shared" si="4"/>
        <v>0</v>
      </c>
      <c r="K25" s="45">
        <f>L25+M25+N25</f>
        <v>47289.6</v>
      </c>
      <c r="L25" s="45"/>
      <c r="M25" s="302">
        <f t="shared" si="5"/>
        <v>47289.6</v>
      </c>
      <c r="N25" s="45">
        <f t="shared" si="5"/>
        <v>0</v>
      </c>
      <c r="O25" s="45">
        <f>P25+Q25+R25</f>
        <v>47289.6</v>
      </c>
      <c r="P25" s="45"/>
      <c r="Q25" s="302">
        <f t="shared" si="6"/>
        <v>47289.6</v>
      </c>
      <c r="R25" s="45">
        <f t="shared" si="6"/>
        <v>0</v>
      </c>
      <c r="S25" s="45">
        <f>M25/I25*100</f>
        <v>91.80592657016835</v>
      </c>
      <c r="T25" s="45">
        <f>Q25/M25*100</f>
        <v>100</v>
      </c>
    </row>
    <row r="26" spans="1:20" ht="25.5">
      <c r="A26" s="456" t="s">
        <v>114</v>
      </c>
      <c r="B26" s="314"/>
      <c r="C26" s="312"/>
      <c r="D26" s="313"/>
      <c r="E26" s="313"/>
      <c r="F26" s="313"/>
      <c r="G26" s="450">
        <f>H26+I26+J26</f>
        <v>51510.4</v>
      </c>
      <c r="H26" s="314"/>
      <c r="I26" s="315">
        <f>42059.4+9451</f>
        <v>51510.4</v>
      </c>
      <c r="J26" s="314">
        <v>0</v>
      </c>
      <c r="K26" s="450">
        <f>L26+M26+N26</f>
        <v>47289.6</v>
      </c>
      <c r="L26" s="314"/>
      <c r="M26" s="315">
        <v>47289.6</v>
      </c>
      <c r="N26" s="45">
        <v>0</v>
      </c>
      <c r="O26" s="450">
        <f>P26+Q26+R26</f>
        <v>47289.6</v>
      </c>
      <c r="P26" s="314"/>
      <c r="Q26" s="315">
        <v>47289.6</v>
      </c>
      <c r="R26" s="314">
        <v>0</v>
      </c>
      <c r="S26" s="314"/>
      <c r="T26" s="314"/>
    </row>
    <row r="27" spans="1:20" ht="12.75">
      <c r="A27" s="52" t="s">
        <v>9</v>
      </c>
      <c r="B27" s="45" t="s">
        <v>327</v>
      </c>
      <c r="C27" s="301" t="s">
        <v>325</v>
      </c>
      <c r="D27" s="304" t="s">
        <v>350</v>
      </c>
      <c r="E27" s="304" t="s">
        <v>353</v>
      </c>
      <c r="F27" s="304"/>
      <c r="G27" s="45">
        <f t="shared" si="3"/>
        <v>6242</v>
      </c>
      <c r="H27" s="45"/>
      <c r="I27" s="302">
        <f>I28</f>
        <v>6242</v>
      </c>
      <c r="J27" s="45">
        <f>J28</f>
        <v>0</v>
      </c>
      <c r="K27" s="45">
        <f>M27+N27</f>
        <v>2854</v>
      </c>
      <c r="L27" s="45"/>
      <c r="M27" s="302">
        <f>M28</f>
        <v>2854</v>
      </c>
      <c r="N27" s="45">
        <f>N28</f>
        <v>0</v>
      </c>
      <c r="O27" s="45">
        <f>Q27+R27</f>
        <v>2854</v>
      </c>
      <c r="P27" s="45"/>
      <c r="Q27" s="302">
        <f>Q28</f>
        <v>2854</v>
      </c>
      <c r="R27" s="45">
        <f>R28</f>
        <v>0</v>
      </c>
      <c r="S27" s="45"/>
      <c r="T27" s="45"/>
    </row>
    <row r="28" spans="1:20" ht="12.75">
      <c r="A28" s="52" t="s">
        <v>354</v>
      </c>
      <c r="B28" s="45" t="s">
        <v>327</v>
      </c>
      <c r="C28" s="301" t="s">
        <v>325</v>
      </c>
      <c r="D28" s="304" t="s">
        <v>350</v>
      </c>
      <c r="E28" s="304" t="s">
        <v>353</v>
      </c>
      <c r="F28" s="304" t="s">
        <v>355</v>
      </c>
      <c r="G28" s="45">
        <f t="shared" si="3"/>
        <v>6242</v>
      </c>
      <c r="H28" s="45"/>
      <c r="I28" s="302">
        <f>I29</f>
        <v>6242</v>
      </c>
      <c r="J28" s="45">
        <f>J29</f>
        <v>0</v>
      </c>
      <c r="K28" s="45">
        <f>M28+N28</f>
        <v>2854</v>
      </c>
      <c r="L28" s="45"/>
      <c r="M28" s="302">
        <f>M29</f>
        <v>2854</v>
      </c>
      <c r="N28" s="45">
        <f>N29</f>
        <v>0</v>
      </c>
      <c r="O28" s="45">
        <f>Q28+R28</f>
        <v>2854</v>
      </c>
      <c r="P28" s="45"/>
      <c r="Q28" s="302">
        <f>Q29</f>
        <v>2854</v>
      </c>
      <c r="R28" s="45">
        <f>R29</f>
        <v>0</v>
      </c>
      <c r="S28" s="45"/>
      <c r="T28" s="45"/>
    </row>
    <row r="29" spans="1:20" ht="12.75">
      <c r="A29" s="438" t="s">
        <v>280</v>
      </c>
      <c r="B29" s="320" t="s">
        <v>327</v>
      </c>
      <c r="C29" s="439" t="s">
        <v>325</v>
      </c>
      <c r="D29" s="440" t="s">
        <v>350</v>
      </c>
      <c r="E29" s="440" t="s">
        <v>353</v>
      </c>
      <c r="F29" s="440" t="s">
        <v>355</v>
      </c>
      <c r="G29" s="320">
        <f>H29+I29+J29</f>
        <v>6242</v>
      </c>
      <c r="H29" s="320"/>
      <c r="I29" s="315">
        <f>SUM(I30:I33)</f>
        <v>6242</v>
      </c>
      <c r="J29" s="314">
        <f>SUM(J30:J33)</f>
        <v>0</v>
      </c>
      <c r="K29" s="320">
        <f aca="true" t="shared" si="7" ref="K29:K34">L29+M29+N29</f>
        <v>2854</v>
      </c>
      <c r="L29" s="314"/>
      <c r="M29" s="315">
        <f>SUM(M30:M33)</f>
        <v>2854</v>
      </c>
      <c r="N29" s="45">
        <f>SUM(N30:N33)</f>
        <v>0</v>
      </c>
      <c r="O29" s="320">
        <f aca="true" t="shared" si="8" ref="O29:O34">P29+Q29+R29</f>
        <v>2854</v>
      </c>
      <c r="P29" s="314"/>
      <c r="Q29" s="315">
        <f>SUM(Q30:Q33)</f>
        <v>2854</v>
      </c>
      <c r="R29" s="314">
        <f>SUM(R30:R33)</f>
        <v>0</v>
      </c>
      <c r="S29" s="314"/>
      <c r="T29" s="45"/>
    </row>
    <row r="30" spans="1:20" s="316" customFormat="1" ht="25.5">
      <c r="A30" s="442" t="s">
        <v>115</v>
      </c>
      <c r="B30" s="314"/>
      <c r="C30" s="312"/>
      <c r="D30" s="313"/>
      <c r="E30" s="313"/>
      <c r="F30" s="313"/>
      <c r="G30" s="450">
        <f>H30+I30+J30</f>
        <v>753.5</v>
      </c>
      <c r="H30" s="314"/>
      <c r="I30" s="315">
        <v>753.5</v>
      </c>
      <c r="J30" s="314">
        <v>0</v>
      </c>
      <c r="K30" s="450">
        <f t="shared" si="7"/>
        <v>0</v>
      </c>
      <c r="L30" s="314"/>
      <c r="M30" s="315">
        <v>0</v>
      </c>
      <c r="N30" s="45">
        <v>0</v>
      </c>
      <c r="O30" s="450">
        <f t="shared" si="8"/>
        <v>0</v>
      </c>
      <c r="P30" s="314"/>
      <c r="Q30" s="315">
        <v>0</v>
      </c>
      <c r="R30" s="314">
        <v>0</v>
      </c>
      <c r="S30" s="314"/>
      <c r="T30" s="314"/>
    </row>
    <row r="31" spans="1:20" s="316" customFormat="1" ht="18" customHeight="1">
      <c r="A31" s="442" t="s">
        <v>117</v>
      </c>
      <c r="B31" s="314"/>
      <c r="C31" s="312"/>
      <c r="D31" s="313"/>
      <c r="E31" s="313"/>
      <c r="F31" s="313"/>
      <c r="G31" s="450">
        <f>H31+I31+J31</f>
        <v>753.5</v>
      </c>
      <c r="H31" s="314"/>
      <c r="I31" s="315">
        <v>753.5</v>
      </c>
      <c r="J31" s="314">
        <v>0</v>
      </c>
      <c r="K31" s="450">
        <f t="shared" si="7"/>
        <v>0</v>
      </c>
      <c r="L31" s="314"/>
      <c r="M31" s="315">
        <v>0</v>
      </c>
      <c r="N31" s="45">
        <v>0</v>
      </c>
      <c r="O31" s="450">
        <f t="shared" si="8"/>
        <v>0</v>
      </c>
      <c r="P31" s="314"/>
      <c r="Q31" s="315">
        <v>0</v>
      </c>
      <c r="R31" s="314">
        <v>0</v>
      </c>
      <c r="S31" s="314"/>
      <c r="T31" s="314"/>
    </row>
    <row r="32" spans="1:20" s="316" customFormat="1" ht="17.25" customHeight="1">
      <c r="A32" s="442" t="s">
        <v>341</v>
      </c>
      <c r="B32" s="314"/>
      <c r="C32" s="312"/>
      <c r="D32" s="313"/>
      <c r="E32" s="313"/>
      <c r="F32" s="313"/>
      <c r="G32" s="450">
        <f>H32+I32+J32</f>
        <v>297</v>
      </c>
      <c r="H32" s="314"/>
      <c r="I32" s="315">
        <v>297</v>
      </c>
      <c r="J32" s="314">
        <v>0</v>
      </c>
      <c r="K32" s="450">
        <f t="shared" si="7"/>
        <v>0</v>
      </c>
      <c r="L32" s="314"/>
      <c r="M32" s="315">
        <v>0</v>
      </c>
      <c r="N32" s="45"/>
      <c r="O32" s="450">
        <f t="shared" si="8"/>
        <v>0</v>
      </c>
      <c r="P32" s="314"/>
      <c r="Q32" s="315">
        <v>0</v>
      </c>
      <c r="R32" s="314"/>
      <c r="S32" s="314"/>
      <c r="T32" s="314"/>
    </row>
    <row r="33" spans="1:20" s="316" customFormat="1" ht="51">
      <c r="A33" s="442" t="s">
        <v>118</v>
      </c>
      <c r="B33" s="314"/>
      <c r="C33" s="312"/>
      <c r="D33" s="313"/>
      <c r="E33" s="313"/>
      <c r="F33" s="313"/>
      <c r="G33" s="450">
        <f>H33+I33+J33</f>
        <v>4438</v>
      </c>
      <c r="H33" s="314"/>
      <c r="I33" s="315">
        <v>4438</v>
      </c>
      <c r="J33" s="314">
        <v>0</v>
      </c>
      <c r="K33" s="450">
        <f t="shared" si="7"/>
        <v>2854</v>
      </c>
      <c r="L33" s="314"/>
      <c r="M33" s="315">
        <v>2854</v>
      </c>
      <c r="N33" s="45">
        <v>0</v>
      </c>
      <c r="O33" s="450">
        <f t="shared" si="8"/>
        <v>2854</v>
      </c>
      <c r="P33" s="314"/>
      <c r="Q33" s="315">
        <v>2854</v>
      </c>
      <c r="R33" s="314">
        <v>0</v>
      </c>
      <c r="S33" s="314"/>
      <c r="T33" s="314"/>
    </row>
    <row r="34" spans="1:20" ht="12.75">
      <c r="A34" s="52" t="s">
        <v>328</v>
      </c>
      <c r="B34" s="45" t="s">
        <v>327</v>
      </c>
      <c r="C34" s="301" t="s">
        <v>325</v>
      </c>
      <c r="D34" s="304" t="s">
        <v>329</v>
      </c>
      <c r="E34" s="304"/>
      <c r="F34" s="304"/>
      <c r="G34" s="45">
        <f aca="true" t="shared" si="9" ref="G34:H36">G35</f>
        <v>23096.7</v>
      </c>
      <c r="H34" s="45">
        <f t="shared" si="9"/>
        <v>10003.1</v>
      </c>
      <c r="I34" s="302">
        <f>I35</f>
        <v>13093.6</v>
      </c>
      <c r="J34" s="45">
        <f>J35</f>
        <v>0</v>
      </c>
      <c r="K34" s="45">
        <f t="shared" si="7"/>
        <v>6708</v>
      </c>
      <c r="L34" s="45">
        <f aca="true" t="shared" si="10" ref="L34:N35">L35</f>
        <v>4427.3</v>
      </c>
      <c r="M34" s="302">
        <f t="shared" si="10"/>
        <v>2280.7</v>
      </c>
      <c r="N34" s="45">
        <f t="shared" si="10"/>
        <v>0</v>
      </c>
      <c r="O34" s="45">
        <f t="shared" si="8"/>
        <v>6708</v>
      </c>
      <c r="P34" s="45">
        <f aca="true" t="shared" si="11" ref="P34:R35">P35</f>
        <v>4427.3</v>
      </c>
      <c r="Q34" s="302">
        <f t="shared" si="11"/>
        <v>2280.7</v>
      </c>
      <c r="R34" s="45">
        <f t="shared" si="11"/>
        <v>0</v>
      </c>
      <c r="S34" s="45">
        <f aca="true" t="shared" si="12" ref="S34:S41">M34/I34*100</f>
        <v>17.418433433127632</v>
      </c>
      <c r="T34" s="45">
        <f aca="true" t="shared" si="13" ref="T34:T41">Q34/M34*100</f>
        <v>100</v>
      </c>
    </row>
    <row r="35" spans="1:20" ht="12.75">
      <c r="A35" s="52" t="s">
        <v>12</v>
      </c>
      <c r="B35" s="45" t="s">
        <v>327</v>
      </c>
      <c r="C35" s="301" t="s">
        <v>325</v>
      </c>
      <c r="D35" s="304" t="s">
        <v>329</v>
      </c>
      <c r="E35" s="304" t="s">
        <v>331</v>
      </c>
      <c r="F35" s="304"/>
      <c r="G35" s="45">
        <f t="shared" si="9"/>
        <v>23096.7</v>
      </c>
      <c r="H35" s="45">
        <f t="shared" si="9"/>
        <v>10003.1</v>
      </c>
      <c r="I35" s="302">
        <f>I36</f>
        <v>13093.6</v>
      </c>
      <c r="J35" s="45">
        <f>J36</f>
        <v>0</v>
      </c>
      <c r="K35" s="45">
        <f>K36</f>
        <v>6708</v>
      </c>
      <c r="L35" s="45">
        <f t="shared" si="10"/>
        <v>4427.3</v>
      </c>
      <c r="M35" s="302">
        <f t="shared" si="10"/>
        <v>2280.7</v>
      </c>
      <c r="N35" s="45">
        <f t="shared" si="10"/>
        <v>0</v>
      </c>
      <c r="O35" s="45">
        <f>O36</f>
        <v>6708</v>
      </c>
      <c r="P35" s="45">
        <f t="shared" si="11"/>
        <v>4427.3</v>
      </c>
      <c r="Q35" s="302">
        <f t="shared" si="11"/>
        <v>2280.7</v>
      </c>
      <c r="R35" s="45">
        <f t="shared" si="11"/>
        <v>0</v>
      </c>
      <c r="S35" s="45">
        <f t="shared" si="12"/>
        <v>17.418433433127632</v>
      </c>
      <c r="T35" s="45">
        <f t="shared" si="13"/>
        <v>100</v>
      </c>
    </row>
    <row r="36" spans="1:20" ht="12.75">
      <c r="A36" s="52" t="s">
        <v>332</v>
      </c>
      <c r="B36" s="45" t="s">
        <v>327</v>
      </c>
      <c r="C36" s="301" t="s">
        <v>325</v>
      </c>
      <c r="D36" s="304" t="s">
        <v>329</v>
      </c>
      <c r="E36" s="304" t="s">
        <v>331</v>
      </c>
      <c r="F36" s="304" t="s">
        <v>333</v>
      </c>
      <c r="G36" s="45">
        <f t="shared" si="9"/>
        <v>23096.7</v>
      </c>
      <c r="H36" s="45">
        <f t="shared" si="9"/>
        <v>10003.1</v>
      </c>
      <c r="I36" s="302">
        <f>I37</f>
        <v>13093.6</v>
      </c>
      <c r="J36" s="45">
        <f aca="true" t="shared" si="14" ref="J36:R36">J37</f>
        <v>0</v>
      </c>
      <c r="K36" s="45">
        <f t="shared" si="14"/>
        <v>6708</v>
      </c>
      <c r="L36" s="45">
        <f>L37</f>
        <v>4427.3</v>
      </c>
      <c r="M36" s="302">
        <f t="shared" si="14"/>
        <v>2280.7</v>
      </c>
      <c r="N36" s="45">
        <f t="shared" si="14"/>
        <v>0</v>
      </c>
      <c r="O36" s="45">
        <f t="shared" si="14"/>
        <v>6708</v>
      </c>
      <c r="P36" s="45">
        <f>P37</f>
        <v>4427.3</v>
      </c>
      <c r="Q36" s="302">
        <f t="shared" si="14"/>
        <v>2280.7</v>
      </c>
      <c r="R36" s="45">
        <f t="shared" si="14"/>
        <v>0</v>
      </c>
      <c r="S36" s="45">
        <f t="shared" si="12"/>
        <v>17.418433433127632</v>
      </c>
      <c r="T36" s="45">
        <f t="shared" si="13"/>
        <v>100</v>
      </c>
    </row>
    <row r="37" spans="1:20" ht="63.75" customHeight="1">
      <c r="A37" s="271" t="s">
        <v>119</v>
      </c>
      <c r="B37" s="439" t="s">
        <v>202</v>
      </c>
      <c r="C37" s="439"/>
      <c r="D37" s="440"/>
      <c r="E37" s="440"/>
      <c r="F37" s="440"/>
      <c r="G37" s="320">
        <f>H37+I37+J37</f>
        <v>23096.7</v>
      </c>
      <c r="H37" s="320">
        <v>10003.1</v>
      </c>
      <c r="I37" s="321">
        <v>13093.6</v>
      </c>
      <c r="J37" s="320">
        <v>0</v>
      </c>
      <c r="K37" s="320">
        <f>L37+M37+N37</f>
        <v>6708</v>
      </c>
      <c r="L37" s="320">
        <v>4427.3</v>
      </c>
      <c r="M37" s="321">
        <v>2280.7</v>
      </c>
      <c r="N37" s="45">
        <v>0</v>
      </c>
      <c r="O37" s="320">
        <f>P37+Q37+R37</f>
        <v>6708</v>
      </c>
      <c r="P37" s="320">
        <v>4427.3</v>
      </c>
      <c r="Q37" s="321">
        <v>2280.7</v>
      </c>
      <c r="R37" s="320"/>
      <c r="S37" s="320">
        <f t="shared" si="12"/>
        <v>17.418433433127632</v>
      </c>
      <c r="T37" s="320">
        <f t="shared" si="13"/>
        <v>100</v>
      </c>
    </row>
    <row r="38" spans="1:20" ht="38.25">
      <c r="A38" s="52" t="s">
        <v>337</v>
      </c>
      <c r="B38" s="303" t="s">
        <v>327</v>
      </c>
      <c r="C38" s="301" t="s">
        <v>325</v>
      </c>
      <c r="D38" s="319">
        <v>14</v>
      </c>
      <c r="E38" s="304"/>
      <c r="F38" s="304"/>
      <c r="G38" s="45">
        <f aca="true" t="shared" si="15" ref="G38:H40">G39</f>
        <v>343457.80000000005</v>
      </c>
      <c r="H38" s="45">
        <f t="shared" si="15"/>
        <v>12189.4</v>
      </c>
      <c r="I38" s="302">
        <f aca="true" t="shared" si="16" ref="I38:K40">I39</f>
        <v>327955.7</v>
      </c>
      <c r="J38" s="45">
        <f t="shared" si="16"/>
        <v>3312.7</v>
      </c>
      <c r="K38" s="45">
        <f t="shared" si="16"/>
        <v>167143.59999999998</v>
      </c>
      <c r="L38" s="45">
        <f>L39</f>
        <v>12189.4</v>
      </c>
      <c r="M38" s="302">
        <f aca="true" t="shared" si="17" ref="M38:N40">M39</f>
        <v>153404.3</v>
      </c>
      <c r="N38" s="45">
        <f t="shared" si="17"/>
        <v>1549.8999999999996</v>
      </c>
      <c r="O38" s="45">
        <f aca="true" t="shared" si="18" ref="O38:R40">O39</f>
        <v>249102.19999999998</v>
      </c>
      <c r="P38" s="45">
        <f>P39</f>
        <v>363.7</v>
      </c>
      <c r="Q38" s="302">
        <f t="shared" si="18"/>
        <v>246220.59999999998</v>
      </c>
      <c r="R38" s="45">
        <f t="shared" si="18"/>
        <v>2517.9000000000005</v>
      </c>
      <c r="S38" s="45">
        <f t="shared" si="12"/>
        <v>46.775921260097014</v>
      </c>
      <c r="T38" s="45">
        <f t="shared" si="13"/>
        <v>160.50436656599587</v>
      </c>
    </row>
    <row r="39" spans="1:20" ht="25.5">
      <c r="A39" s="52" t="s">
        <v>338</v>
      </c>
      <c r="B39" s="303" t="s">
        <v>327</v>
      </c>
      <c r="C39" s="301" t="s">
        <v>325</v>
      </c>
      <c r="D39" s="319">
        <v>14</v>
      </c>
      <c r="E39" s="304" t="s">
        <v>331</v>
      </c>
      <c r="F39" s="304"/>
      <c r="G39" s="45">
        <f t="shared" si="15"/>
        <v>343457.80000000005</v>
      </c>
      <c r="H39" s="45">
        <f t="shared" si="15"/>
        <v>12189.4</v>
      </c>
      <c r="I39" s="302">
        <f t="shared" si="16"/>
        <v>327955.7</v>
      </c>
      <c r="J39" s="45">
        <f t="shared" si="16"/>
        <v>3312.7</v>
      </c>
      <c r="K39" s="45">
        <f t="shared" si="16"/>
        <v>167143.59999999998</v>
      </c>
      <c r="L39" s="45">
        <f>L40</f>
        <v>12189.4</v>
      </c>
      <c r="M39" s="302">
        <f t="shared" si="17"/>
        <v>153404.3</v>
      </c>
      <c r="N39" s="45">
        <f t="shared" si="17"/>
        <v>1549.8999999999996</v>
      </c>
      <c r="O39" s="45">
        <f t="shared" si="18"/>
        <v>249102.19999999998</v>
      </c>
      <c r="P39" s="45">
        <f>P40</f>
        <v>363.7</v>
      </c>
      <c r="Q39" s="302">
        <f t="shared" si="18"/>
        <v>246220.59999999998</v>
      </c>
      <c r="R39" s="45">
        <f t="shared" si="18"/>
        <v>2517.9000000000005</v>
      </c>
      <c r="S39" s="45">
        <f t="shared" si="12"/>
        <v>46.775921260097014</v>
      </c>
      <c r="T39" s="45">
        <f t="shared" si="13"/>
        <v>160.50436656599587</v>
      </c>
    </row>
    <row r="40" spans="1:20" ht="12.75">
      <c r="A40" s="52" t="s">
        <v>334</v>
      </c>
      <c r="B40" s="303" t="s">
        <v>327</v>
      </c>
      <c r="C40" s="301" t="s">
        <v>325</v>
      </c>
      <c r="D40" s="319">
        <v>14</v>
      </c>
      <c r="E40" s="304" t="s">
        <v>331</v>
      </c>
      <c r="F40" s="304" t="s">
        <v>335</v>
      </c>
      <c r="G40" s="45">
        <f t="shared" si="15"/>
        <v>343457.80000000005</v>
      </c>
      <c r="H40" s="45">
        <f t="shared" si="15"/>
        <v>12189.4</v>
      </c>
      <c r="I40" s="302">
        <f t="shared" si="16"/>
        <v>327955.7</v>
      </c>
      <c r="J40" s="45">
        <f t="shared" si="16"/>
        <v>3312.7</v>
      </c>
      <c r="K40" s="45">
        <f t="shared" si="16"/>
        <v>167143.59999999998</v>
      </c>
      <c r="L40" s="45">
        <f>L41</f>
        <v>12189.4</v>
      </c>
      <c r="M40" s="302">
        <f t="shared" si="17"/>
        <v>153404.3</v>
      </c>
      <c r="N40" s="45">
        <f>N41</f>
        <v>1549.8999999999996</v>
      </c>
      <c r="O40" s="45">
        <f t="shared" si="18"/>
        <v>249102.19999999998</v>
      </c>
      <c r="P40" s="45">
        <f>P41</f>
        <v>363.7</v>
      </c>
      <c r="Q40" s="302">
        <f t="shared" si="18"/>
        <v>246220.59999999998</v>
      </c>
      <c r="R40" s="45">
        <f>R41</f>
        <v>2517.9000000000005</v>
      </c>
      <c r="S40" s="45">
        <f t="shared" si="12"/>
        <v>46.775921260097014</v>
      </c>
      <c r="T40" s="45">
        <f t="shared" si="13"/>
        <v>160.50436656599587</v>
      </c>
    </row>
    <row r="41" spans="1:20" s="515" customFormat="1" ht="25.5">
      <c r="A41" s="509" t="s">
        <v>336</v>
      </c>
      <c r="B41" s="510" t="s">
        <v>327</v>
      </c>
      <c r="C41" s="511" t="s">
        <v>325</v>
      </c>
      <c r="D41" s="512">
        <v>14</v>
      </c>
      <c r="E41" s="513" t="s">
        <v>331</v>
      </c>
      <c r="F41" s="513" t="s">
        <v>335</v>
      </c>
      <c r="G41" s="514">
        <f>SUM(I41+H41+J41)</f>
        <v>343457.80000000005</v>
      </c>
      <c r="H41" s="359">
        <f>SUM(H42:H74)</f>
        <v>12189.4</v>
      </c>
      <c r="I41" s="360">
        <f>SUM(I42:I74)</f>
        <v>327955.7</v>
      </c>
      <c r="J41" s="359">
        <f>SUM(J42:J74)</f>
        <v>3312.7</v>
      </c>
      <c r="K41" s="514">
        <f>SUM(M41+L41+N41)</f>
        <v>167143.59999999998</v>
      </c>
      <c r="L41" s="359">
        <f>SUM(L42:L74)</f>
        <v>12189.4</v>
      </c>
      <c r="M41" s="360">
        <f>SUM(M42:M74)</f>
        <v>153404.3</v>
      </c>
      <c r="N41" s="359">
        <f>SUM(N42:N74)</f>
        <v>1549.8999999999996</v>
      </c>
      <c r="O41" s="514">
        <f>SUM(Q41+P41+R41)</f>
        <v>249102.19999999998</v>
      </c>
      <c r="P41" s="359">
        <f>SUM(P42:P74)</f>
        <v>363.7</v>
      </c>
      <c r="Q41" s="360">
        <f>SUM(Q44:Q84)</f>
        <v>246220.59999999998</v>
      </c>
      <c r="R41" s="359">
        <f>SUM(R44:R84)</f>
        <v>2517.9000000000005</v>
      </c>
      <c r="S41" s="43">
        <f t="shared" si="12"/>
        <v>46.775921260097014</v>
      </c>
      <c r="T41" s="43">
        <f t="shared" si="13"/>
        <v>160.50436656599587</v>
      </c>
    </row>
    <row r="42" spans="1:20" s="296" customFormat="1" ht="12.75">
      <c r="A42" s="237" t="s">
        <v>120</v>
      </c>
      <c r="B42" s="460"/>
      <c r="C42" s="461"/>
      <c r="D42" s="462"/>
      <c r="E42" s="463"/>
      <c r="F42" s="463"/>
      <c r="G42" s="293"/>
      <c r="H42" s="293"/>
      <c r="I42" s="464"/>
      <c r="J42" s="465"/>
      <c r="K42" s="293"/>
      <c r="L42" s="293"/>
      <c r="M42" s="295"/>
      <c r="N42" s="206"/>
      <c r="O42" s="293">
        <f aca="true" t="shared" si="19" ref="O42:O55">P42+Q42+R42</f>
        <v>1225.3999999999999</v>
      </c>
      <c r="P42" s="293"/>
      <c r="Q42" s="295">
        <f>Q76</f>
        <v>1213.1</v>
      </c>
      <c r="R42" s="293">
        <f>R76</f>
        <v>12.3</v>
      </c>
      <c r="S42" s="372"/>
      <c r="T42" s="372"/>
    </row>
    <row r="43" spans="1:20" s="300" customFormat="1" ht="12.75">
      <c r="A43" s="238" t="s">
        <v>121</v>
      </c>
      <c r="B43" s="466"/>
      <c r="C43" s="467"/>
      <c r="D43" s="468"/>
      <c r="E43" s="469"/>
      <c r="F43" s="469"/>
      <c r="G43" s="297"/>
      <c r="H43" s="297"/>
      <c r="I43" s="470"/>
      <c r="J43" s="471"/>
      <c r="K43" s="472"/>
      <c r="L43" s="297"/>
      <c r="M43" s="299"/>
      <c r="N43" s="206"/>
      <c r="O43" s="472">
        <f t="shared" si="19"/>
        <v>120782.79999999997</v>
      </c>
      <c r="P43" s="297"/>
      <c r="Q43" s="299">
        <f>Q45+Q50+Q78+Q53+Q55+Q79+Q80+Q81+Q82+Q83+Q84-0.1</f>
        <v>119544.89999999998</v>
      </c>
      <c r="R43" s="471">
        <f>R45+R50+R78+R53+R55+R79+R80+R81+R82+R83+R84</f>
        <v>1237.9</v>
      </c>
      <c r="S43" s="207"/>
      <c r="T43" s="207"/>
    </row>
    <row r="44" spans="1:20" s="454" customFormat="1" ht="25.5">
      <c r="A44" s="473" t="s">
        <v>208</v>
      </c>
      <c r="B44" s="446"/>
      <c r="C44" s="447"/>
      <c r="D44" s="448"/>
      <c r="E44" s="449"/>
      <c r="F44" s="449"/>
      <c r="G44" s="450">
        <f>H44+I44+J44</f>
        <v>52894.9</v>
      </c>
      <c r="H44" s="447"/>
      <c r="I44" s="278">
        <v>52366</v>
      </c>
      <c r="J44" s="279">
        <v>528.9</v>
      </c>
      <c r="K44" s="450">
        <f>L44+M44+N44</f>
        <v>52882.700000000004</v>
      </c>
      <c r="L44" s="447"/>
      <c r="M44" s="278">
        <v>52353.8</v>
      </c>
      <c r="N44" s="273">
        <v>528.9</v>
      </c>
      <c r="O44" s="450">
        <f t="shared" si="19"/>
        <v>52882.700000000004</v>
      </c>
      <c r="P44" s="447"/>
      <c r="Q44" s="278">
        <v>52353.8</v>
      </c>
      <c r="R44" s="279">
        <v>528.9</v>
      </c>
      <c r="S44" s="447"/>
      <c r="T44" s="447"/>
    </row>
    <row r="45" spans="1:20" s="454" customFormat="1" ht="12.75">
      <c r="A45" s="248" t="s">
        <v>209</v>
      </c>
      <c r="B45" s="446"/>
      <c r="C45" s="447"/>
      <c r="D45" s="448"/>
      <c r="E45" s="449"/>
      <c r="F45" s="449"/>
      <c r="G45" s="474"/>
      <c r="H45" s="447"/>
      <c r="I45" s="277"/>
      <c r="J45" s="274"/>
      <c r="K45" s="474"/>
      <c r="L45" s="447"/>
      <c r="M45" s="277"/>
      <c r="N45" s="273"/>
      <c r="O45" s="474">
        <f t="shared" si="19"/>
        <v>40404</v>
      </c>
      <c r="P45" s="447"/>
      <c r="Q45" s="277">
        <v>40000</v>
      </c>
      <c r="R45" s="275">
        <v>404</v>
      </c>
      <c r="S45" s="447"/>
      <c r="T45" s="447"/>
    </row>
    <row r="46" spans="1:20" s="454" customFormat="1" ht="25.5">
      <c r="A46" s="475" t="s">
        <v>210</v>
      </c>
      <c r="B46" s="446"/>
      <c r="C46" s="447"/>
      <c r="D46" s="448"/>
      <c r="E46" s="449"/>
      <c r="F46" s="449"/>
      <c r="G46" s="450">
        <f>H46+I46+J46</f>
        <v>50000</v>
      </c>
      <c r="H46" s="447"/>
      <c r="I46" s="278">
        <v>49500</v>
      </c>
      <c r="J46" s="279">
        <v>500</v>
      </c>
      <c r="K46" s="450">
        <f>L46+M46+N46</f>
        <v>7921.3</v>
      </c>
      <c r="L46" s="447"/>
      <c r="M46" s="278">
        <v>7842.1</v>
      </c>
      <c r="N46" s="273">
        <v>79.2</v>
      </c>
      <c r="O46" s="450">
        <f t="shared" si="19"/>
        <v>7921.3</v>
      </c>
      <c r="P46" s="447"/>
      <c r="Q46" s="278">
        <v>7842.1</v>
      </c>
      <c r="R46" s="279">
        <v>79.2</v>
      </c>
      <c r="S46" s="447"/>
      <c r="T46" s="447"/>
    </row>
    <row r="47" spans="1:20" s="454" customFormat="1" ht="25.5">
      <c r="A47" s="475" t="s">
        <v>211</v>
      </c>
      <c r="B47" s="446"/>
      <c r="C47" s="447"/>
      <c r="D47" s="448"/>
      <c r="E47" s="449"/>
      <c r="F47" s="449"/>
      <c r="G47" s="450">
        <f>H47+I47+J47</f>
        <v>1859.1999999999998</v>
      </c>
      <c r="H47" s="447"/>
      <c r="I47" s="278">
        <v>1840.6</v>
      </c>
      <c r="J47" s="279">
        <v>18.6</v>
      </c>
      <c r="K47" s="450">
        <f>L47+M47+N47</f>
        <v>0</v>
      </c>
      <c r="L47" s="447"/>
      <c r="M47" s="278">
        <v>0</v>
      </c>
      <c r="N47" s="273"/>
      <c r="O47" s="450">
        <f t="shared" si="19"/>
        <v>0</v>
      </c>
      <c r="P47" s="447"/>
      <c r="Q47" s="278">
        <v>0</v>
      </c>
      <c r="R47" s="279">
        <v>0</v>
      </c>
      <c r="S47" s="447"/>
      <c r="T47" s="447"/>
    </row>
    <row r="48" spans="1:20" s="454" customFormat="1" ht="25.5">
      <c r="A48" s="476" t="s">
        <v>212</v>
      </c>
      <c r="B48" s="446"/>
      <c r="C48" s="447"/>
      <c r="D48" s="448"/>
      <c r="E48" s="449"/>
      <c r="F48" s="449"/>
      <c r="G48" s="450">
        <f>H48+I48+J48</f>
        <v>3000</v>
      </c>
      <c r="H48" s="447"/>
      <c r="I48" s="278">
        <v>2970</v>
      </c>
      <c r="J48" s="279">
        <v>30</v>
      </c>
      <c r="K48" s="450">
        <f>L48+M48+N48</f>
        <v>0</v>
      </c>
      <c r="L48" s="447"/>
      <c r="M48" s="278">
        <v>0</v>
      </c>
      <c r="N48" s="273"/>
      <c r="O48" s="450">
        <f t="shared" si="19"/>
        <v>0</v>
      </c>
      <c r="P48" s="447"/>
      <c r="Q48" s="278">
        <v>0</v>
      </c>
      <c r="R48" s="279">
        <v>0</v>
      </c>
      <c r="S48" s="447"/>
      <c r="T48" s="447"/>
    </row>
    <row r="49" spans="1:20" s="454" customFormat="1" ht="25.5">
      <c r="A49" s="473" t="s">
        <v>213</v>
      </c>
      <c r="B49" s="446"/>
      <c r="C49" s="447"/>
      <c r="D49" s="448"/>
      <c r="E49" s="449"/>
      <c r="F49" s="449"/>
      <c r="G49" s="450">
        <f>H49+I49+J49</f>
        <v>60000</v>
      </c>
      <c r="H49" s="447"/>
      <c r="I49" s="278">
        <v>59400</v>
      </c>
      <c r="J49" s="279">
        <v>600</v>
      </c>
      <c r="K49" s="450">
        <f>L49+M49+N49</f>
        <v>0</v>
      </c>
      <c r="L49" s="447"/>
      <c r="M49" s="278">
        <v>0</v>
      </c>
      <c r="N49" s="273"/>
      <c r="O49" s="450">
        <f t="shared" si="19"/>
        <v>0</v>
      </c>
      <c r="P49" s="447"/>
      <c r="Q49" s="278">
        <v>0</v>
      </c>
      <c r="R49" s="279">
        <v>0</v>
      </c>
      <c r="S49" s="447"/>
      <c r="T49" s="447"/>
    </row>
    <row r="50" spans="1:20" s="454" customFormat="1" ht="12.75">
      <c r="A50" s="248" t="s">
        <v>209</v>
      </c>
      <c r="B50" s="446"/>
      <c r="C50" s="447"/>
      <c r="D50" s="448"/>
      <c r="E50" s="449"/>
      <c r="F50" s="449"/>
      <c r="G50" s="474"/>
      <c r="H50" s="447"/>
      <c r="I50" s="277"/>
      <c r="J50" s="274"/>
      <c r="K50" s="474"/>
      <c r="L50" s="447"/>
      <c r="M50" s="277"/>
      <c r="N50" s="273"/>
      <c r="O50" s="474">
        <f t="shared" si="19"/>
        <v>24101.3</v>
      </c>
      <c r="P50" s="447"/>
      <c r="Q50" s="277">
        <v>23860.3</v>
      </c>
      <c r="R50" s="275">
        <v>241</v>
      </c>
      <c r="S50" s="447"/>
      <c r="T50" s="447"/>
    </row>
    <row r="51" spans="1:20" s="454" customFormat="1" ht="25.5">
      <c r="A51" s="473" t="s">
        <v>214</v>
      </c>
      <c r="B51" s="446"/>
      <c r="C51" s="447"/>
      <c r="D51" s="448"/>
      <c r="E51" s="449"/>
      <c r="F51" s="449"/>
      <c r="G51" s="450">
        <f>H51+I51+J51</f>
        <v>21730.5</v>
      </c>
      <c r="H51" s="447"/>
      <c r="I51" s="278">
        <v>21513.2</v>
      </c>
      <c r="J51" s="279">
        <v>217.3</v>
      </c>
      <c r="K51" s="450">
        <f>L51+M51+N51</f>
        <v>4782.6</v>
      </c>
      <c r="L51" s="447"/>
      <c r="M51" s="278">
        <v>4734.8</v>
      </c>
      <c r="N51" s="273">
        <v>47.8</v>
      </c>
      <c r="O51" s="450">
        <f t="shared" si="19"/>
        <v>4782.6</v>
      </c>
      <c r="P51" s="447"/>
      <c r="Q51" s="278">
        <v>4734.8</v>
      </c>
      <c r="R51" s="279">
        <v>47.8</v>
      </c>
      <c r="S51" s="447"/>
      <c r="T51" s="447"/>
    </row>
    <row r="52" spans="1:20" s="454" customFormat="1" ht="25.5">
      <c r="A52" s="445" t="s">
        <v>215</v>
      </c>
      <c r="B52" s="446"/>
      <c r="C52" s="447"/>
      <c r="D52" s="448"/>
      <c r="E52" s="449"/>
      <c r="F52" s="449"/>
      <c r="G52" s="450">
        <f>H52+I52+J52</f>
        <v>55369.3</v>
      </c>
      <c r="H52" s="279">
        <v>12189.4</v>
      </c>
      <c r="I52" s="278">
        <v>42748.1</v>
      </c>
      <c r="J52" s="279">
        <v>431.8</v>
      </c>
      <c r="K52" s="450">
        <f>L52+M52+N52</f>
        <v>13479.4</v>
      </c>
      <c r="L52" s="279">
        <v>12189.4</v>
      </c>
      <c r="M52" s="278">
        <v>1276.8</v>
      </c>
      <c r="N52" s="273">
        <v>13.2</v>
      </c>
      <c r="O52" s="450">
        <f t="shared" si="19"/>
        <v>1653.7</v>
      </c>
      <c r="P52" s="279">
        <v>363.7</v>
      </c>
      <c r="Q52" s="278">
        <v>1276.8</v>
      </c>
      <c r="R52" s="279">
        <v>13.2</v>
      </c>
      <c r="S52" s="447"/>
      <c r="T52" s="447"/>
    </row>
    <row r="53" spans="1:20" s="454" customFormat="1" ht="12.75">
      <c r="A53" s="248" t="s">
        <v>209</v>
      </c>
      <c r="B53" s="446"/>
      <c r="C53" s="447"/>
      <c r="D53" s="448"/>
      <c r="E53" s="449"/>
      <c r="F53" s="449"/>
      <c r="G53" s="474"/>
      <c r="H53" s="447"/>
      <c r="I53" s="277"/>
      <c r="J53" s="274"/>
      <c r="K53" s="474"/>
      <c r="L53" s="447"/>
      <c r="M53" s="277"/>
      <c r="N53" s="273"/>
      <c r="O53" s="474">
        <f t="shared" si="19"/>
        <v>6919</v>
      </c>
      <c r="P53" s="447"/>
      <c r="Q53" s="277">
        <v>6849.8</v>
      </c>
      <c r="R53" s="275">
        <v>69.2</v>
      </c>
      <c r="S53" s="447"/>
      <c r="T53" s="447"/>
    </row>
    <row r="54" spans="1:20" s="454" customFormat="1" ht="25.5">
      <c r="A54" s="445" t="s">
        <v>216</v>
      </c>
      <c r="B54" s="446"/>
      <c r="C54" s="447"/>
      <c r="D54" s="448"/>
      <c r="E54" s="449"/>
      <c r="F54" s="449"/>
      <c r="G54" s="450">
        <f>H52+I54+J54</f>
        <v>64989.4</v>
      </c>
      <c r="I54" s="278">
        <v>52272</v>
      </c>
      <c r="J54" s="279">
        <v>528</v>
      </c>
      <c r="K54" s="450">
        <f>L54+M54+N54</f>
        <v>52800</v>
      </c>
      <c r="L54" s="447"/>
      <c r="M54" s="278">
        <v>52272</v>
      </c>
      <c r="N54" s="273">
        <v>528</v>
      </c>
      <c r="O54" s="450">
        <f t="shared" si="19"/>
        <v>24576</v>
      </c>
      <c r="P54" s="447"/>
      <c r="Q54" s="278">
        <v>24330.2</v>
      </c>
      <c r="R54" s="279">
        <v>245.8</v>
      </c>
      <c r="S54" s="447"/>
      <c r="T54" s="447"/>
    </row>
    <row r="55" spans="1:20" s="454" customFormat="1" ht="12.75">
      <c r="A55" s="248" t="s">
        <v>209</v>
      </c>
      <c r="B55" s="446"/>
      <c r="C55" s="447"/>
      <c r="D55" s="448"/>
      <c r="E55" s="449"/>
      <c r="F55" s="449"/>
      <c r="G55" s="474"/>
      <c r="H55" s="447"/>
      <c r="I55" s="277"/>
      <c r="J55" s="274"/>
      <c r="K55" s="474"/>
      <c r="L55" s="447"/>
      <c r="M55" s="277"/>
      <c r="N55" s="273"/>
      <c r="O55" s="474">
        <f t="shared" si="19"/>
        <v>9309.6</v>
      </c>
      <c r="P55" s="447"/>
      <c r="Q55" s="277">
        <v>9216.5</v>
      </c>
      <c r="R55" s="275">
        <v>93.1</v>
      </c>
      <c r="S55" s="447"/>
      <c r="T55" s="447"/>
    </row>
    <row r="56" spans="1:20" s="454" customFormat="1" ht="25.5">
      <c r="A56" s="476" t="s">
        <v>217</v>
      </c>
      <c r="B56" s="446"/>
      <c r="C56" s="447"/>
      <c r="D56" s="448"/>
      <c r="E56" s="449"/>
      <c r="F56" s="449"/>
      <c r="G56" s="450">
        <f aca="true" t="shared" si="20" ref="G56:G74">H56+I56+J56</f>
        <v>311.40000000000003</v>
      </c>
      <c r="H56" s="447"/>
      <c r="I56" s="278">
        <v>308.3</v>
      </c>
      <c r="J56" s="279">
        <v>3.1</v>
      </c>
      <c r="K56" s="450">
        <f aca="true" t="shared" si="21" ref="K56:K74">L56+M56+N56</f>
        <v>311.40000000000003</v>
      </c>
      <c r="L56" s="447"/>
      <c r="M56" s="278">
        <v>308.3</v>
      </c>
      <c r="N56" s="273">
        <v>3.1</v>
      </c>
      <c r="O56" s="450">
        <f aca="true" t="shared" si="22" ref="O56:O84">P56+Q56+R56</f>
        <v>311.40000000000003</v>
      </c>
      <c r="P56" s="447"/>
      <c r="Q56" s="278">
        <v>308.3</v>
      </c>
      <c r="R56" s="279">
        <v>3.1</v>
      </c>
      <c r="S56" s="447"/>
      <c r="T56" s="447"/>
    </row>
    <row r="57" spans="1:20" s="454" customFormat="1" ht="25.5">
      <c r="A57" s="476" t="s">
        <v>218</v>
      </c>
      <c r="B57" s="446"/>
      <c r="C57" s="447"/>
      <c r="D57" s="448"/>
      <c r="E57" s="449"/>
      <c r="F57" s="449"/>
      <c r="G57" s="450">
        <f t="shared" si="20"/>
        <v>311.40000000000003</v>
      </c>
      <c r="H57" s="447"/>
      <c r="I57" s="278">
        <v>308.3</v>
      </c>
      <c r="J57" s="279">
        <v>3.1</v>
      </c>
      <c r="K57" s="450">
        <f t="shared" si="21"/>
        <v>311.40000000000003</v>
      </c>
      <c r="L57" s="447"/>
      <c r="M57" s="278">
        <v>308.3</v>
      </c>
      <c r="N57" s="273">
        <v>3.1</v>
      </c>
      <c r="O57" s="450">
        <f t="shared" si="22"/>
        <v>311.40000000000003</v>
      </c>
      <c r="P57" s="447"/>
      <c r="Q57" s="278">
        <v>308.3</v>
      </c>
      <c r="R57" s="279">
        <v>3.1</v>
      </c>
      <c r="S57" s="447"/>
      <c r="T57" s="447"/>
    </row>
    <row r="58" spans="1:20" s="454" customFormat="1" ht="25.5">
      <c r="A58" s="475" t="s">
        <v>219</v>
      </c>
      <c r="B58" s="446"/>
      <c r="C58" s="447"/>
      <c r="D58" s="448"/>
      <c r="E58" s="449"/>
      <c r="F58" s="449"/>
      <c r="G58" s="450">
        <f t="shared" si="20"/>
        <v>540.4</v>
      </c>
      <c r="H58" s="447"/>
      <c r="I58" s="278">
        <v>535</v>
      </c>
      <c r="J58" s="279">
        <v>5.4</v>
      </c>
      <c r="K58" s="450">
        <f t="shared" si="21"/>
        <v>540.4</v>
      </c>
      <c r="L58" s="447"/>
      <c r="M58" s="278">
        <v>535</v>
      </c>
      <c r="N58" s="273">
        <v>5.4</v>
      </c>
      <c r="O58" s="450">
        <f t="shared" si="22"/>
        <v>540.4</v>
      </c>
      <c r="P58" s="447"/>
      <c r="Q58" s="278">
        <v>535</v>
      </c>
      <c r="R58" s="279">
        <v>5.4</v>
      </c>
      <c r="S58" s="447"/>
      <c r="T58" s="447"/>
    </row>
    <row r="59" spans="1:20" s="454" customFormat="1" ht="25.5">
      <c r="A59" s="475" t="s">
        <v>225</v>
      </c>
      <c r="B59" s="446"/>
      <c r="C59" s="447"/>
      <c r="D59" s="448"/>
      <c r="E59" s="449"/>
      <c r="F59" s="449"/>
      <c r="G59" s="450">
        <f t="shared" si="20"/>
        <v>1100.5</v>
      </c>
      <c r="H59" s="447"/>
      <c r="I59" s="278">
        <v>1089.5</v>
      </c>
      <c r="J59" s="279">
        <v>11</v>
      </c>
      <c r="K59" s="450">
        <f t="shared" si="21"/>
        <v>1007.1</v>
      </c>
      <c r="L59" s="447"/>
      <c r="M59" s="278">
        <v>997</v>
      </c>
      <c r="N59" s="273">
        <v>10.1</v>
      </c>
      <c r="O59" s="450">
        <f t="shared" si="22"/>
        <v>1007.1</v>
      </c>
      <c r="P59" s="447"/>
      <c r="Q59" s="278">
        <v>997</v>
      </c>
      <c r="R59" s="279">
        <v>10.1</v>
      </c>
      <c r="S59" s="447"/>
      <c r="T59" s="447"/>
    </row>
    <row r="60" spans="1:20" s="454" customFormat="1" ht="25.5">
      <c r="A60" s="475" t="s">
        <v>226</v>
      </c>
      <c r="B60" s="446"/>
      <c r="C60" s="447"/>
      <c r="D60" s="448"/>
      <c r="E60" s="449"/>
      <c r="F60" s="449"/>
      <c r="G60" s="450">
        <f t="shared" si="20"/>
        <v>1042.1000000000001</v>
      </c>
      <c r="H60" s="447"/>
      <c r="I60" s="278">
        <v>1031.7</v>
      </c>
      <c r="J60" s="279">
        <v>10.4</v>
      </c>
      <c r="K60" s="450">
        <f t="shared" si="21"/>
        <v>1012.1</v>
      </c>
      <c r="L60" s="447"/>
      <c r="M60" s="278">
        <v>1002</v>
      </c>
      <c r="N60" s="273">
        <v>10.1</v>
      </c>
      <c r="O60" s="450">
        <f t="shared" si="22"/>
        <v>1012.1</v>
      </c>
      <c r="P60" s="447"/>
      <c r="Q60" s="278">
        <v>1002</v>
      </c>
      <c r="R60" s="279">
        <v>10.1</v>
      </c>
      <c r="S60" s="447"/>
      <c r="T60" s="447"/>
    </row>
    <row r="61" spans="1:20" s="454" customFormat="1" ht="51">
      <c r="A61" s="477" t="s">
        <v>227</v>
      </c>
      <c r="B61" s="446"/>
      <c r="C61" s="447"/>
      <c r="D61" s="448"/>
      <c r="E61" s="449"/>
      <c r="F61" s="449"/>
      <c r="G61" s="450">
        <f t="shared" si="20"/>
        <v>1859.3</v>
      </c>
      <c r="H61" s="447"/>
      <c r="I61" s="278">
        <v>1840.7</v>
      </c>
      <c r="J61" s="279">
        <v>18.6</v>
      </c>
      <c r="K61" s="450">
        <f t="shared" si="21"/>
        <v>929.5999999999999</v>
      </c>
      <c r="L61" s="447"/>
      <c r="M61" s="278">
        <v>920.3</v>
      </c>
      <c r="N61" s="273">
        <v>9.3</v>
      </c>
      <c r="O61" s="450">
        <f t="shared" si="22"/>
        <v>929.5999999999999</v>
      </c>
      <c r="P61" s="447"/>
      <c r="Q61" s="278">
        <v>920.3</v>
      </c>
      <c r="R61" s="279">
        <v>9.3</v>
      </c>
      <c r="S61" s="447"/>
      <c r="T61" s="447"/>
    </row>
    <row r="62" spans="1:20" s="454" customFormat="1" ht="51">
      <c r="A62" s="473" t="s">
        <v>220</v>
      </c>
      <c r="B62" s="446"/>
      <c r="C62" s="447"/>
      <c r="D62" s="448"/>
      <c r="E62" s="449"/>
      <c r="F62" s="449"/>
      <c r="G62" s="450">
        <f t="shared" si="20"/>
        <v>451.9</v>
      </c>
      <c r="H62" s="447"/>
      <c r="I62" s="278">
        <v>447.4</v>
      </c>
      <c r="J62" s="279">
        <v>4.5</v>
      </c>
      <c r="K62" s="450">
        <f t="shared" si="21"/>
        <v>451.9</v>
      </c>
      <c r="L62" s="447"/>
      <c r="M62" s="278">
        <v>447.4</v>
      </c>
      <c r="N62" s="273">
        <v>4.5</v>
      </c>
      <c r="O62" s="450">
        <f t="shared" si="22"/>
        <v>451.9</v>
      </c>
      <c r="P62" s="447"/>
      <c r="Q62" s="278">
        <v>447.4</v>
      </c>
      <c r="R62" s="279">
        <v>4.5</v>
      </c>
      <c r="S62" s="447"/>
      <c r="T62" s="447"/>
    </row>
    <row r="63" spans="1:20" s="454" customFormat="1" ht="25.5">
      <c r="A63" s="475" t="s">
        <v>228</v>
      </c>
      <c r="B63" s="446"/>
      <c r="C63" s="447"/>
      <c r="D63" s="448"/>
      <c r="E63" s="449"/>
      <c r="F63" s="449"/>
      <c r="G63" s="450">
        <f t="shared" si="20"/>
        <v>800</v>
      </c>
      <c r="H63" s="447"/>
      <c r="I63" s="278">
        <v>792</v>
      </c>
      <c r="J63" s="279">
        <v>8</v>
      </c>
      <c r="K63" s="450">
        <f t="shared" si="21"/>
        <v>562.8000000000001</v>
      </c>
      <c r="L63" s="447"/>
      <c r="M63" s="278">
        <v>557.2</v>
      </c>
      <c r="N63" s="273">
        <v>5.6</v>
      </c>
      <c r="O63" s="450">
        <f t="shared" si="22"/>
        <v>562.8000000000001</v>
      </c>
      <c r="P63" s="447"/>
      <c r="Q63" s="278">
        <v>557.2</v>
      </c>
      <c r="R63" s="279">
        <v>5.6</v>
      </c>
      <c r="S63" s="447"/>
      <c r="T63" s="447"/>
    </row>
    <row r="64" spans="1:20" s="454" customFormat="1" ht="25.5">
      <c r="A64" s="475" t="s">
        <v>229</v>
      </c>
      <c r="B64" s="446"/>
      <c r="C64" s="447"/>
      <c r="D64" s="448"/>
      <c r="E64" s="449"/>
      <c r="F64" s="449"/>
      <c r="G64" s="450">
        <f t="shared" si="20"/>
        <v>4000</v>
      </c>
      <c r="H64" s="447"/>
      <c r="I64" s="278">
        <v>3960</v>
      </c>
      <c r="J64" s="279">
        <v>40</v>
      </c>
      <c r="K64" s="450">
        <f t="shared" si="21"/>
        <v>0</v>
      </c>
      <c r="L64" s="447"/>
      <c r="M64" s="278">
        <v>0</v>
      </c>
      <c r="N64" s="273"/>
      <c r="O64" s="450">
        <f t="shared" si="22"/>
        <v>0</v>
      </c>
      <c r="P64" s="447"/>
      <c r="Q64" s="278">
        <v>0</v>
      </c>
      <c r="R64" s="279"/>
      <c r="S64" s="447"/>
      <c r="T64" s="447"/>
    </row>
    <row r="65" spans="1:20" s="454" customFormat="1" ht="25.5">
      <c r="A65" s="475" t="s">
        <v>230</v>
      </c>
      <c r="B65" s="446"/>
      <c r="C65" s="447"/>
      <c r="D65" s="448"/>
      <c r="E65" s="449"/>
      <c r="F65" s="449"/>
      <c r="G65" s="450">
        <f t="shared" si="20"/>
        <v>2000</v>
      </c>
      <c r="H65" s="447"/>
      <c r="I65" s="278">
        <v>1980</v>
      </c>
      <c r="J65" s="279">
        <v>20</v>
      </c>
      <c r="K65" s="450">
        <f t="shared" si="21"/>
        <v>0</v>
      </c>
      <c r="L65" s="447"/>
      <c r="M65" s="278">
        <v>0</v>
      </c>
      <c r="N65" s="273"/>
      <c r="O65" s="450">
        <f t="shared" si="22"/>
        <v>0</v>
      </c>
      <c r="P65" s="447"/>
      <c r="Q65" s="278">
        <v>0</v>
      </c>
      <c r="R65" s="279"/>
      <c r="S65" s="447"/>
      <c r="T65" s="447"/>
    </row>
    <row r="66" spans="1:20" s="454" customFormat="1" ht="25.5">
      <c r="A66" s="475" t="s">
        <v>221</v>
      </c>
      <c r="B66" s="446"/>
      <c r="C66" s="447"/>
      <c r="D66" s="448"/>
      <c r="E66" s="449"/>
      <c r="F66" s="449"/>
      <c r="G66" s="450">
        <f t="shared" si="20"/>
        <v>757.6</v>
      </c>
      <c r="H66" s="447"/>
      <c r="I66" s="278">
        <v>750</v>
      </c>
      <c r="J66" s="279">
        <v>7.6</v>
      </c>
      <c r="K66" s="450">
        <f t="shared" si="21"/>
        <v>0</v>
      </c>
      <c r="L66" s="447"/>
      <c r="M66" s="278">
        <v>0</v>
      </c>
      <c r="N66" s="273"/>
      <c r="O66" s="450">
        <f t="shared" si="22"/>
        <v>0</v>
      </c>
      <c r="P66" s="447"/>
      <c r="Q66" s="278">
        <v>0</v>
      </c>
      <c r="R66" s="279"/>
      <c r="S66" s="447"/>
      <c r="T66" s="447"/>
    </row>
    <row r="67" spans="1:20" s="454" customFormat="1" ht="38.25">
      <c r="A67" s="475" t="s">
        <v>222</v>
      </c>
      <c r="B67" s="446"/>
      <c r="C67" s="447"/>
      <c r="D67" s="448"/>
      <c r="E67" s="449"/>
      <c r="F67" s="449"/>
      <c r="G67" s="450">
        <f t="shared" si="20"/>
        <v>431.3</v>
      </c>
      <c r="H67" s="447"/>
      <c r="I67" s="278">
        <v>427</v>
      </c>
      <c r="J67" s="279">
        <v>4.3</v>
      </c>
      <c r="K67" s="450">
        <f t="shared" si="21"/>
        <v>431.3</v>
      </c>
      <c r="L67" s="447"/>
      <c r="M67" s="278">
        <v>427</v>
      </c>
      <c r="N67" s="273">
        <v>4.3</v>
      </c>
      <c r="O67" s="450">
        <f t="shared" si="22"/>
        <v>431.3</v>
      </c>
      <c r="P67" s="447"/>
      <c r="Q67" s="278">
        <v>427</v>
      </c>
      <c r="R67" s="279">
        <v>4.3</v>
      </c>
      <c r="S67" s="447"/>
      <c r="T67" s="447"/>
    </row>
    <row r="68" spans="1:20" s="454" customFormat="1" ht="38.25">
      <c r="A68" s="475" t="s">
        <v>223</v>
      </c>
      <c r="B68" s="446"/>
      <c r="C68" s="447"/>
      <c r="D68" s="448"/>
      <c r="E68" s="449"/>
      <c r="F68" s="449"/>
      <c r="G68" s="450">
        <f t="shared" si="20"/>
        <v>436.7</v>
      </c>
      <c r="H68" s="447"/>
      <c r="I68" s="278">
        <v>432.3</v>
      </c>
      <c r="J68" s="279">
        <v>4.4</v>
      </c>
      <c r="K68" s="450">
        <f t="shared" si="21"/>
        <v>436.4</v>
      </c>
      <c r="L68" s="447"/>
      <c r="M68" s="278">
        <v>432</v>
      </c>
      <c r="N68" s="273">
        <v>4.4</v>
      </c>
      <c r="O68" s="450">
        <f t="shared" si="22"/>
        <v>436.4</v>
      </c>
      <c r="P68" s="447"/>
      <c r="Q68" s="278">
        <v>432</v>
      </c>
      <c r="R68" s="279">
        <v>4.4</v>
      </c>
      <c r="S68" s="447"/>
      <c r="T68" s="447"/>
    </row>
    <row r="69" spans="1:20" s="454" customFormat="1" ht="25.5">
      <c r="A69" s="475" t="s">
        <v>224</v>
      </c>
      <c r="B69" s="446"/>
      <c r="C69" s="447"/>
      <c r="D69" s="448"/>
      <c r="E69" s="449"/>
      <c r="F69" s="449"/>
      <c r="G69" s="450">
        <f t="shared" si="20"/>
        <v>767.6</v>
      </c>
      <c r="H69" s="447"/>
      <c r="I69" s="278">
        <v>759.9</v>
      </c>
      <c r="J69" s="279">
        <v>7.7</v>
      </c>
      <c r="K69" s="450">
        <f t="shared" si="21"/>
        <v>767.6</v>
      </c>
      <c r="L69" s="447"/>
      <c r="M69" s="278">
        <v>759.9</v>
      </c>
      <c r="N69" s="273">
        <v>7.7</v>
      </c>
      <c r="O69" s="450">
        <f t="shared" si="22"/>
        <v>767.6</v>
      </c>
      <c r="P69" s="447"/>
      <c r="Q69" s="278">
        <v>759.9</v>
      </c>
      <c r="R69" s="279">
        <v>7.7</v>
      </c>
      <c r="S69" s="447"/>
      <c r="T69" s="447"/>
    </row>
    <row r="70" spans="1:20" s="454" customFormat="1" ht="89.25">
      <c r="A70" s="478" t="s">
        <v>231</v>
      </c>
      <c r="B70" s="446"/>
      <c r="C70" s="447"/>
      <c r="D70" s="448"/>
      <c r="E70" s="449"/>
      <c r="F70" s="449"/>
      <c r="G70" s="450">
        <f t="shared" si="20"/>
        <v>540.5</v>
      </c>
      <c r="H70" s="447"/>
      <c r="I70" s="278">
        <v>535.1</v>
      </c>
      <c r="J70" s="279">
        <v>5.4</v>
      </c>
      <c r="K70" s="450">
        <f t="shared" si="21"/>
        <v>0</v>
      </c>
      <c r="L70" s="447"/>
      <c r="M70" s="278">
        <v>0</v>
      </c>
      <c r="N70" s="273"/>
      <c r="O70" s="450">
        <f t="shared" si="22"/>
        <v>0</v>
      </c>
      <c r="P70" s="447"/>
      <c r="Q70" s="278">
        <v>0</v>
      </c>
      <c r="R70" s="279"/>
      <c r="S70" s="447"/>
      <c r="T70" s="447"/>
    </row>
    <row r="71" spans="1:20" s="454" customFormat="1" ht="89.25">
      <c r="A71" s="478" t="s">
        <v>232</v>
      </c>
      <c r="B71" s="446"/>
      <c r="C71" s="447"/>
      <c r="D71" s="448"/>
      <c r="E71" s="449"/>
      <c r="F71" s="449"/>
      <c r="G71" s="450">
        <f t="shared" si="20"/>
        <v>540.5</v>
      </c>
      <c r="H71" s="447"/>
      <c r="I71" s="278">
        <v>535.1</v>
      </c>
      <c r="J71" s="279">
        <v>5.4</v>
      </c>
      <c r="K71" s="450">
        <f t="shared" si="21"/>
        <v>0</v>
      </c>
      <c r="L71" s="447"/>
      <c r="M71" s="278">
        <v>0</v>
      </c>
      <c r="N71" s="273"/>
      <c r="O71" s="450">
        <f t="shared" si="22"/>
        <v>0</v>
      </c>
      <c r="P71" s="447"/>
      <c r="Q71" s="278">
        <v>0</v>
      </c>
      <c r="R71" s="279"/>
      <c r="S71" s="447"/>
      <c r="T71" s="447"/>
    </row>
    <row r="72" spans="1:20" s="454" customFormat="1" ht="89.25">
      <c r="A72" s="478" t="s">
        <v>233</v>
      </c>
      <c r="B72" s="446"/>
      <c r="C72" s="447"/>
      <c r="D72" s="448"/>
      <c r="E72" s="449"/>
      <c r="F72" s="449"/>
      <c r="G72" s="450">
        <f t="shared" si="20"/>
        <v>540.5</v>
      </c>
      <c r="H72" s="447"/>
      <c r="I72" s="278">
        <v>535.1</v>
      </c>
      <c r="J72" s="279">
        <v>5.4</v>
      </c>
      <c r="K72" s="450">
        <f t="shared" si="21"/>
        <v>0</v>
      </c>
      <c r="L72" s="447"/>
      <c r="M72" s="278">
        <v>0</v>
      </c>
      <c r="N72" s="273"/>
      <c r="O72" s="450">
        <f t="shared" si="22"/>
        <v>0</v>
      </c>
      <c r="P72" s="447"/>
      <c r="Q72" s="278">
        <v>0</v>
      </c>
      <c r="R72" s="279"/>
      <c r="S72" s="447"/>
      <c r="T72" s="447"/>
    </row>
    <row r="73" spans="1:20" s="454" customFormat="1" ht="25.5">
      <c r="A73" s="478" t="s">
        <v>234</v>
      </c>
      <c r="B73" s="446"/>
      <c r="C73" s="447"/>
      <c r="D73" s="448"/>
      <c r="E73" s="449"/>
      <c r="F73" s="449"/>
      <c r="G73" s="450">
        <f t="shared" si="20"/>
        <v>566.2</v>
      </c>
      <c r="H73" s="447"/>
      <c r="I73" s="278">
        <v>560.5</v>
      </c>
      <c r="J73" s="279">
        <v>5.7</v>
      </c>
      <c r="K73" s="450">
        <f t="shared" si="21"/>
        <v>0</v>
      </c>
      <c r="L73" s="447"/>
      <c r="M73" s="278">
        <v>0</v>
      </c>
      <c r="N73" s="273"/>
      <c r="O73" s="450">
        <f t="shared" si="22"/>
        <v>0</v>
      </c>
      <c r="P73" s="447"/>
      <c r="Q73" s="278">
        <v>0</v>
      </c>
      <c r="R73" s="279"/>
      <c r="S73" s="447"/>
      <c r="T73" s="447"/>
    </row>
    <row r="74" spans="1:20" s="459" customFormat="1" ht="38.25">
      <c r="A74" s="456" t="s">
        <v>339</v>
      </c>
      <c r="B74" s="457"/>
      <c r="C74" s="439"/>
      <c r="D74" s="458"/>
      <c r="E74" s="440"/>
      <c r="F74" s="440"/>
      <c r="G74" s="450">
        <f t="shared" si="20"/>
        <v>28806</v>
      </c>
      <c r="H74" s="320"/>
      <c r="I74" s="321">
        <v>28517.9</v>
      </c>
      <c r="J74" s="320">
        <v>288.1</v>
      </c>
      <c r="K74" s="450">
        <f t="shared" si="21"/>
        <v>28515.600000000002</v>
      </c>
      <c r="L74" s="320"/>
      <c r="M74" s="321">
        <v>28230.4</v>
      </c>
      <c r="N74" s="45">
        <v>285.2</v>
      </c>
      <c r="O74" s="450">
        <f t="shared" si="22"/>
        <v>28515.600000000002</v>
      </c>
      <c r="P74" s="320"/>
      <c r="Q74" s="321">
        <v>28230.4</v>
      </c>
      <c r="R74" s="320">
        <v>285.2</v>
      </c>
      <c r="S74" s="320"/>
      <c r="T74" s="320"/>
    </row>
    <row r="75" spans="1:20" s="373" customFormat="1" ht="12.75">
      <c r="A75" s="518" t="s">
        <v>45</v>
      </c>
      <c r="B75" s="369"/>
      <c r="C75" s="370"/>
      <c r="D75" s="519"/>
      <c r="E75" s="371"/>
      <c r="F75" s="371"/>
      <c r="G75" s="520"/>
      <c r="H75" s="372"/>
      <c r="I75" s="441"/>
      <c r="J75" s="372"/>
      <c r="K75" s="520"/>
      <c r="L75" s="372"/>
      <c r="M75" s="441"/>
      <c r="N75" s="372"/>
      <c r="O75" s="520"/>
      <c r="P75" s="372"/>
      <c r="Q75" s="441"/>
      <c r="R75" s="372"/>
      <c r="S75" s="372"/>
      <c r="T75" s="372"/>
    </row>
    <row r="76" spans="1:20" s="373" customFormat="1" ht="12.75">
      <c r="A76" s="518" t="s">
        <v>186</v>
      </c>
      <c r="B76" s="369"/>
      <c r="C76" s="370"/>
      <c r="D76" s="519"/>
      <c r="E76" s="371"/>
      <c r="F76" s="371"/>
      <c r="G76" s="520"/>
      <c r="H76" s="372"/>
      <c r="I76" s="441"/>
      <c r="J76" s="372"/>
      <c r="K76" s="520"/>
      <c r="L76" s="372"/>
      <c r="M76" s="441"/>
      <c r="N76" s="372"/>
      <c r="O76" s="520">
        <f>P76+Q76+R76</f>
        <v>1225.3999999999999</v>
      </c>
      <c r="P76" s="372"/>
      <c r="Q76" s="441">
        <v>1213.1</v>
      </c>
      <c r="R76" s="372">
        <v>12.3</v>
      </c>
      <c r="S76" s="372"/>
      <c r="T76" s="372"/>
    </row>
    <row r="77" spans="1:20" s="310" customFormat="1" ht="12.75">
      <c r="A77" s="480" t="s">
        <v>39</v>
      </c>
      <c r="B77" s="306"/>
      <c r="C77" s="307"/>
      <c r="D77" s="329"/>
      <c r="E77" s="308"/>
      <c r="F77" s="308"/>
      <c r="G77" s="474"/>
      <c r="H77" s="207"/>
      <c r="I77" s="309"/>
      <c r="J77" s="207"/>
      <c r="K77" s="474"/>
      <c r="L77" s="207"/>
      <c r="M77" s="309"/>
      <c r="N77" s="207"/>
      <c r="O77" s="474"/>
      <c r="P77" s="207"/>
      <c r="Q77" s="309"/>
      <c r="R77" s="207"/>
      <c r="S77" s="207"/>
      <c r="T77" s="207"/>
    </row>
    <row r="78" spans="1:20" s="454" customFormat="1" ht="25.5">
      <c r="A78" s="272" t="s">
        <v>46</v>
      </c>
      <c r="B78" s="446"/>
      <c r="C78" s="447"/>
      <c r="D78" s="448"/>
      <c r="E78" s="449"/>
      <c r="F78" s="449"/>
      <c r="G78" s="474"/>
      <c r="H78" s="447"/>
      <c r="I78" s="277"/>
      <c r="J78" s="274"/>
      <c r="K78" s="474"/>
      <c r="L78" s="447"/>
      <c r="M78" s="277"/>
      <c r="N78" s="273"/>
      <c r="O78" s="474">
        <f>P78+Q78+R78</f>
        <v>650.3</v>
      </c>
      <c r="P78" s="447"/>
      <c r="Q78" s="277">
        <v>643.8</v>
      </c>
      <c r="R78" s="275">
        <v>6.5</v>
      </c>
      <c r="S78" s="447"/>
      <c r="T78" s="447"/>
    </row>
    <row r="79" spans="1:20" s="310" customFormat="1" ht="51">
      <c r="A79" s="479" t="s">
        <v>40</v>
      </c>
      <c r="B79" s="306"/>
      <c r="C79" s="307"/>
      <c r="D79" s="329"/>
      <c r="E79" s="308"/>
      <c r="F79" s="308"/>
      <c r="G79" s="207"/>
      <c r="H79" s="207"/>
      <c r="I79" s="309"/>
      <c r="J79" s="207"/>
      <c r="K79" s="474"/>
      <c r="L79" s="207"/>
      <c r="M79" s="309"/>
      <c r="N79" s="45"/>
      <c r="O79" s="474">
        <f t="shared" si="22"/>
        <v>888.9</v>
      </c>
      <c r="P79" s="207"/>
      <c r="Q79" s="309">
        <v>880</v>
      </c>
      <c r="R79" s="207">
        <v>8.9</v>
      </c>
      <c r="S79" s="207"/>
      <c r="T79" s="207"/>
    </row>
    <row r="80" spans="1:20" s="310" customFormat="1" ht="25.5">
      <c r="A80" s="480" t="s">
        <v>41</v>
      </c>
      <c r="B80" s="306"/>
      <c r="C80" s="307"/>
      <c r="D80" s="329"/>
      <c r="E80" s="308"/>
      <c r="F80" s="308"/>
      <c r="G80" s="207"/>
      <c r="H80" s="207"/>
      <c r="I80" s="309"/>
      <c r="J80" s="207"/>
      <c r="K80" s="474"/>
      <c r="L80" s="207"/>
      <c r="M80" s="309"/>
      <c r="N80" s="45"/>
      <c r="O80" s="474">
        <f t="shared" si="22"/>
        <v>29331.899999999998</v>
      </c>
      <c r="P80" s="207"/>
      <c r="Q80" s="309">
        <v>29038.6</v>
      </c>
      <c r="R80" s="207">
        <v>293.3</v>
      </c>
      <c r="S80" s="207"/>
      <c r="T80" s="207"/>
    </row>
    <row r="81" spans="1:20" s="310" customFormat="1" ht="25.5">
      <c r="A81" s="480" t="s">
        <v>42</v>
      </c>
      <c r="B81" s="306"/>
      <c r="C81" s="307"/>
      <c r="D81" s="329"/>
      <c r="E81" s="308"/>
      <c r="F81" s="308"/>
      <c r="G81" s="207"/>
      <c r="H81" s="207"/>
      <c r="I81" s="309"/>
      <c r="J81" s="207"/>
      <c r="K81" s="474"/>
      <c r="L81" s="207"/>
      <c r="M81" s="309"/>
      <c r="N81" s="45"/>
      <c r="O81" s="474">
        <f t="shared" si="22"/>
        <v>7086.599999999999</v>
      </c>
      <c r="P81" s="207"/>
      <c r="Q81" s="309">
        <v>7015.7</v>
      </c>
      <c r="R81" s="207">
        <v>70.9</v>
      </c>
      <c r="S81" s="207"/>
      <c r="T81" s="207"/>
    </row>
    <row r="82" spans="1:20" s="310" customFormat="1" ht="25.5">
      <c r="A82" s="480" t="s">
        <v>43</v>
      </c>
      <c r="B82" s="306"/>
      <c r="C82" s="307"/>
      <c r="D82" s="329"/>
      <c r="E82" s="308"/>
      <c r="F82" s="308"/>
      <c r="G82" s="207"/>
      <c r="H82" s="207"/>
      <c r="I82" s="309"/>
      <c r="J82" s="207"/>
      <c r="K82" s="474"/>
      <c r="L82" s="207"/>
      <c r="M82" s="309"/>
      <c r="N82" s="45"/>
      <c r="O82" s="474">
        <f t="shared" si="22"/>
        <v>1424.2</v>
      </c>
      <c r="P82" s="207"/>
      <c r="Q82" s="309">
        <v>1409.9</v>
      </c>
      <c r="R82" s="207">
        <v>14.3</v>
      </c>
      <c r="S82" s="207"/>
      <c r="T82" s="207"/>
    </row>
    <row r="83" spans="1:20" s="310" customFormat="1" ht="12.75">
      <c r="A83" s="480" t="s">
        <v>185</v>
      </c>
      <c r="B83" s="306"/>
      <c r="C83" s="307"/>
      <c r="D83" s="329"/>
      <c r="E83" s="308"/>
      <c r="F83" s="308"/>
      <c r="G83" s="207"/>
      <c r="H83" s="207"/>
      <c r="I83" s="309"/>
      <c r="J83" s="207"/>
      <c r="K83" s="474"/>
      <c r="L83" s="207"/>
      <c r="M83" s="309"/>
      <c r="N83" s="45"/>
      <c r="O83" s="474">
        <f t="shared" si="22"/>
        <v>30.3</v>
      </c>
      <c r="P83" s="207"/>
      <c r="Q83" s="309"/>
      <c r="R83" s="207">
        <v>30.3</v>
      </c>
      <c r="S83" s="207"/>
      <c r="T83" s="207"/>
    </row>
    <row r="84" spans="1:20" s="310" customFormat="1" ht="25.5">
      <c r="A84" s="480" t="s">
        <v>44</v>
      </c>
      <c r="B84" s="306"/>
      <c r="C84" s="307"/>
      <c r="D84" s="329"/>
      <c r="E84" s="308"/>
      <c r="F84" s="308"/>
      <c r="G84" s="207"/>
      <c r="H84" s="207"/>
      <c r="I84" s="309"/>
      <c r="J84" s="207"/>
      <c r="K84" s="474"/>
      <c r="L84" s="207"/>
      <c r="M84" s="309"/>
      <c r="N84" s="45"/>
      <c r="O84" s="474">
        <f t="shared" si="22"/>
        <v>636.8</v>
      </c>
      <c r="P84" s="207"/>
      <c r="Q84" s="309">
        <v>630.4</v>
      </c>
      <c r="R84" s="207">
        <v>6.4</v>
      </c>
      <c r="S84" s="207"/>
      <c r="T84" s="207"/>
    </row>
    <row r="85" spans="1:20" ht="27">
      <c r="A85" s="59" t="s">
        <v>348</v>
      </c>
      <c r="B85" s="42" t="s">
        <v>327</v>
      </c>
      <c r="C85" s="342" t="s">
        <v>349</v>
      </c>
      <c r="D85" s="43"/>
      <c r="E85" s="342"/>
      <c r="F85" s="342"/>
      <c r="G85" s="43">
        <f>G86</f>
        <v>15523.6</v>
      </c>
      <c r="H85" s="43"/>
      <c r="I85" s="292">
        <f aca="true" t="shared" si="23" ref="I85:J87">I86</f>
        <v>15523.6</v>
      </c>
      <c r="J85" s="43">
        <f t="shared" si="23"/>
        <v>0</v>
      </c>
      <c r="K85" s="43">
        <f aca="true" t="shared" si="24" ref="K85:O87">K86</f>
        <v>12049.8</v>
      </c>
      <c r="L85" s="43"/>
      <c r="M85" s="292">
        <f t="shared" si="24"/>
        <v>12049.8</v>
      </c>
      <c r="N85" s="43">
        <f t="shared" si="24"/>
        <v>0</v>
      </c>
      <c r="O85" s="43">
        <f t="shared" si="24"/>
        <v>12049.8</v>
      </c>
      <c r="P85" s="43"/>
      <c r="Q85" s="292">
        <f aca="true" t="shared" si="25" ref="Q85:R88">Q86</f>
        <v>12049.8</v>
      </c>
      <c r="R85" s="43">
        <f t="shared" si="25"/>
        <v>0</v>
      </c>
      <c r="S85" s="45">
        <f>M85/I85*100</f>
        <v>77.62245870803164</v>
      </c>
      <c r="T85" s="45">
        <f>Q85/M85*100</f>
        <v>100</v>
      </c>
    </row>
    <row r="86" spans="1:20" ht="12.75">
      <c r="A86" s="455" t="s">
        <v>352</v>
      </c>
      <c r="B86" s="303" t="s">
        <v>327</v>
      </c>
      <c r="C86" s="44" t="s">
        <v>349</v>
      </c>
      <c r="D86" s="44" t="s">
        <v>350</v>
      </c>
      <c r="E86" s="44"/>
      <c r="F86" s="44"/>
      <c r="G86" s="45">
        <f>G87</f>
        <v>15523.6</v>
      </c>
      <c r="H86" s="45"/>
      <c r="I86" s="302">
        <f t="shared" si="23"/>
        <v>15523.6</v>
      </c>
      <c r="J86" s="45">
        <f t="shared" si="23"/>
        <v>0</v>
      </c>
      <c r="K86" s="45">
        <f t="shared" si="24"/>
        <v>12049.8</v>
      </c>
      <c r="L86" s="45"/>
      <c r="M86" s="302">
        <f t="shared" si="24"/>
        <v>12049.8</v>
      </c>
      <c r="N86" s="45">
        <f t="shared" si="24"/>
        <v>0</v>
      </c>
      <c r="O86" s="45">
        <f t="shared" si="24"/>
        <v>12049.8</v>
      </c>
      <c r="P86" s="45"/>
      <c r="Q86" s="302">
        <f t="shared" si="25"/>
        <v>12049.8</v>
      </c>
      <c r="R86" s="45">
        <f t="shared" si="25"/>
        <v>0</v>
      </c>
      <c r="S86" s="45"/>
      <c r="T86" s="45"/>
    </row>
    <row r="87" spans="1:20" ht="12.75">
      <c r="A87" s="455" t="s">
        <v>351</v>
      </c>
      <c r="B87" s="303" t="s">
        <v>327</v>
      </c>
      <c r="C87" s="44" t="s">
        <v>349</v>
      </c>
      <c r="D87" s="44" t="s">
        <v>350</v>
      </c>
      <c r="E87" s="44" t="s">
        <v>347</v>
      </c>
      <c r="F87" s="44"/>
      <c r="G87" s="45">
        <f>G88</f>
        <v>15523.6</v>
      </c>
      <c r="H87" s="45"/>
      <c r="I87" s="302">
        <f t="shared" si="23"/>
        <v>15523.6</v>
      </c>
      <c r="J87" s="45">
        <f t="shared" si="23"/>
        <v>0</v>
      </c>
      <c r="K87" s="45">
        <f t="shared" si="24"/>
        <v>12049.8</v>
      </c>
      <c r="L87" s="45"/>
      <c r="M87" s="302">
        <f t="shared" si="24"/>
        <v>12049.8</v>
      </c>
      <c r="N87" s="45">
        <f t="shared" si="24"/>
        <v>0</v>
      </c>
      <c r="O87" s="45">
        <f t="shared" si="24"/>
        <v>12049.8</v>
      </c>
      <c r="P87" s="45"/>
      <c r="Q87" s="302">
        <f t="shared" si="25"/>
        <v>12049.8</v>
      </c>
      <c r="R87" s="45">
        <f t="shared" si="25"/>
        <v>0</v>
      </c>
      <c r="S87" s="45"/>
      <c r="T87" s="45"/>
    </row>
    <row r="88" spans="1:20" ht="25.5">
      <c r="A88" s="52" t="s">
        <v>60</v>
      </c>
      <c r="B88" s="303" t="s">
        <v>327</v>
      </c>
      <c r="C88" s="44" t="s">
        <v>349</v>
      </c>
      <c r="D88" s="44" t="s">
        <v>350</v>
      </c>
      <c r="E88" s="44" t="s">
        <v>347</v>
      </c>
      <c r="F88" s="44" t="s">
        <v>37</v>
      </c>
      <c r="G88" s="45">
        <f>H88+I88+J88</f>
        <v>15523.6</v>
      </c>
      <c r="H88" s="45"/>
      <c r="I88" s="302">
        <f>I89</f>
        <v>15523.6</v>
      </c>
      <c r="J88" s="45">
        <f>J89</f>
        <v>0</v>
      </c>
      <c r="K88" s="45">
        <f>L88+M88+N88</f>
        <v>12049.8</v>
      </c>
      <c r="L88" s="45"/>
      <c r="M88" s="302">
        <f>M89</f>
        <v>12049.8</v>
      </c>
      <c r="N88" s="45">
        <f>N89</f>
        <v>0</v>
      </c>
      <c r="O88" s="45">
        <f>P88+Q88+R88</f>
        <v>12049.8</v>
      </c>
      <c r="P88" s="45"/>
      <c r="Q88" s="302">
        <f t="shared" si="25"/>
        <v>12049.8</v>
      </c>
      <c r="R88" s="45">
        <f t="shared" si="25"/>
        <v>0</v>
      </c>
      <c r="S88" s="45"/>
      <c r="T88" s="45"/>
    </row>
    <row r="89" spans="1:20" s="459" customFormat="1" ht="50.25" customHeight="1">
      <c r="A89" s="456" t="s">
        <v>340</v>
      </c>
      <c r="B89" s="320"/>
      <c r="C89" s="481"/>
      <c r="D89" s="320"/>
      <c r="E89" s="481"/>
      <c r="F89" s="481"/>
      <c r="G89" s="320"/>
      <c r="H89" s="320"/>
      <c r="I89" s="321">
        <v>15523.6</v>
      </c>
      <c r="J89" s="320">
        <v>0</v>
      </c>
      <c r="K89" s="450">
        <f>L89+M89+N89</f>
        <v>12049.8</v>
      </c>
      <c r="L89" s="320"/>
      <c r="M89" s="321">
        <v>12049.8</v>
      </c>
      <c r="N89" s="45">
        <v>0</v>
      </c>
      <c r="O89" s="450">
        <f>P89+Q89+R89</f>
        <v>12049.8</v>
      </c>
      <c r="P89" s="320"/>
      <c r="Q89" s="321">
        <v>12049.8</v>
      </c>
      <c r="R89" s="320">
        <v>0</v>
      </c>
      <c r="S89" s="320"/>
      <c r="T89" s="320"/>
    </row>
  </sheetData>
  <mergeCells count="15">
    <mergeCell ref="T5:T7"/>
    <mergeCell ref="S5:S7"/>
    <mergeCell ref="A5:A7"/>
    <mergeCell ref="B5:B7"/>
    <mergeCell ref="C5:C7"/>
    <mergeCell ref="O5:R5"/>
    <mergeCell ref="D5:D7"/>
    <mergeCell ref="E5:E7"/>
    <mergeCell ref="F5:F7"/>
    <mergeCell ref="H6:J6"/>
    <mergeCell ref="G6:G7"/>
    <mergeCell ref="P6:R6"/>
    <mergeCell ref="K6:K7"/>
    <mergeCell ref="O6:O7"/>
    <mergeCell ref="L6:N6"/>
  </mergeCells>
  <printOptions gridLines="1"/>
  <pageMargins left="0.75" right="0.75" top="1" bottom="1" header="0.5" footer="0.5"/>
  <pageSetup fitToHeight="1" fitToWidth="1" horizontalDpi="600" verticalDpi="600" orientation="portrait" paperSize="9" scale="2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selection activeCell="AB23" sqref="AB23"/>
    </sheetView>
  </sheetViews>
  <sheetFormatPr defaultColWidth="9.00390625" defaultRowHeight="12.75"/>
  <cols>
    <col min="1" max="1" width="50.875" style="1" customWidth="1"/>
    <col min="2" max="2" width="9.25390625" style="3" customWidth="1"/>
    <col min="3" max="3" width="4.00390625" style="5" customWidth="1"/>
    <col min="4" max="4" width="3.25390625" style="3" customWidth="1"/>
    <col min="5" max="6" width="3.875" style="5" customWidth="1"/>
    <col min="7" max="8" width="9.875" style="3" customWidth="1"/>
    <col min="9" max="9" width="7.75390625" style="3" customWidth="1"/>
    <col min="10" max="10" width="8.75390625" style="3" customWidth="1"/>
    <col min="11" max="11" width="8.625" style="3" customWidth="1"/>
    <col min="12" max="12" width="7.875" style="3" customWidth="1"/>
    <col min="13" max="13" width="8.75390625" style="3" customWidth="1"/>
    <col min="14" max="14" width="9.625" style="3" customWidth="1"/>
    <col min="15" max="15" width="6.75390625" style="3" customWidth="1"/>
    <col min="16" max="16" width="5.75390625" style="3" customWidth="1"/>
    <col min="17" max="17" width="6.125" style="3" customWidth="1"/>
    <col min="18" max="18" width="9.125" style="3" customWidth="1"/>
    <col min="19" max="16384" width="9.125" style="1" customWidth="1"/>
  </cols>
  <sheetData>
    <row r="1" ht="12.75">
      <c r="H1" s="284" t="s">
        <v>31</v>
      </c>
    </row>
    <row r="2" ht="12.75">
      <c r="H2" s="284" t="s">
        <v>157</v>
      </c>
    </row>
    <row r="3" ht="12.75">
      <c r="H3" s="284" t="s">
        <v>158</v>
      </c>
    </row>
    <row r="4" ht="12.75">
      <c r="O4" s="285" t="s">
        <v>32</v>
      </c>
    </row>
    <row r="5" spans="1:18" s="39" customFormat="1" ht="12.75">
      <c r="A5" s="560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286"/>
      <c r="H5" s="287" t="s">
        <v>24</v>
      </c>
      <c r="I5" s="289"/>
      <c r="J5" s="286"/>
      <c r="K5" s="288" t="s">
        <v>25</v>
      </c>
      <c r="L5" s="289"/>
      <c r="M5" s="530" t="s">
        <v>26</v>
      </c>
      <c r="N5" s="531"/>
      <c r="O5" s="548"/>
      <c r="P5" s="527" t="s">
        <v>66</v>
      </c>
      <c r="Q5" s="527" t="s">
        <v>18</v>
      </c>
      <c r="R5" s="290"/>
    </row>
    <row r="6" spans="1:18" s="39" customFormat="1" ht="12.75">
      <c r="A6" s="561"/>
      <c r="B6" s="537"/>
      <c r="C6" s="537"/>
      <c r="D6" s="537"/>
      <c r="E6" s="537"/>
      <c r="F6" s="537"/>
      <c r="G6" s="555" t="s">
        <v>28</v>
      </c>
      <c r="H6" s="286" t="s">
        <v>27</v>
      </c>
      <c r="I6" s="289"/>
      <c r="J6" s="555" t="s">
        <v>28</v>
      </c>
      <c r="K6" s="286" t="s">
        <v>27</v>
      </c>
      <c r="L6" s="289"/>
      <c r="M6" s="555" t="s">
        <v>28</v>
      </c>
      <c r="N6" s="557" t="s">
        <v>27</v>
      </c>
      <c r="O6" s="559"/>
      <c r="P6" s="528"/>
      <c r="Q6" s="528"/>
      <c r="R6" s="290"/>
    </row>
    <row r="7" spans="1:18" s="39" customFormat="1" ht="38.25">
      <c r="A7" s="562"/>
      <c r="B7" s="538"/>
      <c r="C7" s="538"/>
      <c r="D7" s="538"/>
      <c r="E7" s="538"/>
      <c r="F7" s="538"/>
      <c r="G7" s="556"/>
      <c r="H7" s="33" t="s">
        <v>29</v>
      </c>
      <c r="I7" s="291" t="s">
        <v>30</v>
      </c>
      <c r="J7" s="556"/>
      <c r="K7" s="33" t="s">
        <v>29</v>
      </c>
      <c r="L7" s="291" t="s">
        <v>30</v>
      </c>
      <c r="M7" s="556"/>
      <c r="N7" s="33" t="s">
        <v>29</v>
      </c>
      <c r="O7" s="291" t="s">
        <v>30</v>
      </c>
      <c r="P7" s="529"/>
      <c r="Q7" s="529"/>
      <c r="R7" s="290"/>
    </row>
    <row r="8" spans="1:17" ht="12.75">
      <c r="A8" s="30" t="s">
        <v>34</v>
      </c>
      <c r="B8" s="43" t="s">
        <v>344</v>
      </c>
      <c r="C8" s="44"/>
      <c r="D8" s="45"/>
      <c r="E8" s="44"/>
      <c r="F8" s="44"/>
      <c r="G8" s="43">
        <f aca="true" t="shared" si="0" ref="G8:O8">SUM(G11)</f>
        <v>230482.50000000003</v>
      </c>
      <c r="H8" s="292">
        <f t="shared" si="0"/>
        <v>228176.30000000002</v>
      </c>
      <c r="I8" s="43">
        <f t="shared" si="0"/>
        <v>2306.2</v>
      </c>
      <c r="J8" s="43">
        <f t="shared" si="0"/>
        <v>112589.90000000001</v>
      </c>
      <c r="K8" s="292">
        <f t="shared" si="0"/>
        <v>111361.3</v>
      </c>
      <c r="L8" s="43">
        <f t="shared" si="0"/>
        <v>1228.6000000000004</v>
      </c>
      <c r="M8" s="43">
        <f t="shared" si="0"/>
        <v>136564.4</v>
      </c>
      <c r="N8" s="292">
        <f t="shared" si="0"/>
        <v>134346.4</v>
      </c>
      <c r="O8" s="43">
        <f t="shared" si="0"/>
        <v>2218</v>
      </c>
      <c r="P8" s="43">
        <f>K8/H8*100</f>
        <v>48.80493723493632</v>
      </c>
      <c r="Q8" s="43">
        <f>N8/K8*100</f>
        <v>120.64011465383395</v>
      </c>
    </row>
    <row r="9" spans="1:18" s="252" customFormat="1" ht="12.75">
      <c r="A9" s="253" t="s">
        <v>196</v>
      </c>
      <c r="B9" s="293"/>
      <c r="C9" s="294"/>
      <c r="D9" s="293"/>
      <c r="E9" s="294"/>
      <c r="F9" s="294"/>
      <c r="G9" s="293"/>
      <c r="H9" s="295"/>
      <c r="I9" s="43"/>
      <c r="J9" s="293"/>
      <c r="K9" s="295"/>
      <c r="L9" s="293"/>
      <c r="M9" s="293"/>
      <c r="N9" s="295"/>
      <c r="O9" s="293"/>
      <c r="P9" s="293"/>
      <c r="Q9" s="293"/>
      <c r="R9" s="296"/>
    </row>
    <row r="10" spans="1:18" s="148" customFormat="1" ht="12.75">
      <c r="A10" s="254" t="s">
        <v>195</v>
      </c>
      <c r="B10" s="297"/>
      <c r="C10" s="298"/>
      <c r="D10" s="297"/>
      <c r="E10" s="298"/>
      <c r="F10" s="298"/>
      <c r="G10" s="297"/>
      <c r="H10" s="299"/>
      <c r="I10" s="43"/>
      <c r="J10" s="297"/>
      <c r="K10" s="299"/>
      <c r="L10" s="297"/>
      <c r="M10" s="297"/>
      <c r="N10" s="299">
        <f>N16+N42</f>
        <v>22985.1</v>
      </c>
      <c r="O10" s="297">
        <f>O16+O42</f>
        <v>1091.8</v>
      </c>
      <c r="P10" s="297"/>
      <c r="Q10" s="297"/>
      <c r="R10" s="300"/>
    </row>
    <row r="11" spans="1:17" ht="27">
      <c r="A11" s="48" t="s">
        <v>324</v>
      </c>
      <c r="B11" s="52" t="s">
        <v>344</v>
      </c>
      <c r="C11" s="301" t="s">
        <v>325</v>
      </c>
      <c r="D11" s="45"/>
      <c r="E11" s="44"/>
      <c r="F11" s="44"/>
      <c r="G11" s="45">
        <f>H11+I11</f>
        <v>230482.50000000003</v>
      </c>
      <c r="H11" s="302">
        <f>H12+H28+H38</f>
        <v>228176.30000000002</v>
      </c>
      <c r="I11" s="426">
        <f>I12+I28+I38</f>
        <v>2306.2</v>
      </c>
      <c r="J11" s="45">
        <f>K11+L11</f>
        <v>112589.90000000001</v>
      </c>
      <c r="K11" s="302">
        <f>K14+K28+K40</f>
        <v>111361.3</v>
      </c>
      <c r="L11" s="45">
        <f>L15+L27+L38</f>
        <v>1228.6000000000004</v>
      </c>
      <c r="M11" s="45">
        <f>N11+O11</f>
        <v>136564.4</v>
      </c>
      <c r="N11" s="302">
        <f>N12+N28+N38</f>
        <v>134346.4</v>
      </c>
      <c r="O11" s="45">
        <f>O12+O28+O40</f>
        <v>2218</v>
      </c>
      <c r="P11" s="45">
        <f>K11/H11*100</f>
        <v>48.80493723493632</v>
      </c>
      <c r="Q11" s="45">
        <f>N11*100/K11</f>
        <v>120.64011465383396</v>
      </c>
    </row>
    <row r="12" spans="1:17" ht="12.75">
      <c r="A12" s="29" t="s">
        <v>5</v>
      </c>
      <c r="B12" s="303" t="s">
        <v>344</v>
      </c>
      <c r="C12" s="301" t="s">
        <v>325</v>
      </c>
      <c r="D12" s="304" t="s">
        <v>368</v>
      </c>
      <c r="E12" s="305"/>
      <c r="F12" s="305"/>
      <c r="G12" s="45">
        <f aca="true" t="shared" si="1" ref="G12:O14">G13</f>
        <v>118252</v>
      </c>
      <c r="H12" s="302">
        <f t="shared" si="1"/>
        <v>117068.1</v>
      </c>
      <c r="I12" s="45">
        <f t="shared" si="1"/>
        <v>1183.9</v>
      </c>
      <c r="J12" s="45">
        <f t="shared" si="1"/>
        <v>80184.70000000001</v>
      </c>
      <c r="K12" s="302">
        <f t="shared" si="1"/>
        <v>79381.6</v>
      </c>
      <c r="L12" s="45">
        <f t="shared" si="1"/>
        <v>803.1000000000001</v>
      </c>
      <c r="M12" s="45">
        <f t="shared" si="1"/>
        <v>80287.8</v>
      </c>
      <c r="N12" s="302">
        <f t="shared" si="1"/>
        <v>79481.6</v>
      </c>
      <c r="O12" s="45">
        <f t="shared" si="1"/>
        <v>806.2</v>
      </c>
      <c r="P12" s="45"/>
      <c r="Q12" s="45"/>
    </row>
    <row r="13" spans="1:17" ht="12.75">
      <c r="A13" s="29" t="s">
        <v>59</v>
      </c>
      <c r="B13" s="303" t="s">
        <v>344</v>
      </c>
      <c r="C13" s="301" t="s">
        <v>325</v>
      </c>
      <c r="D13" s="304" t="s">
        <v>368</v>
      </c>
      <c r="E13" s="304" t="s">
        <v>350</v>
      </c>
      <c r="F13" s="305"/>
      <c r="G13" s="45">
        <f t="shared" si="1"/>
        <v>118252</v>
      </c>
      <c r="H13" s="302">
        <f t="shared" si="1"/>
        <v>117068.1</v>
      </c>
      <c r="I13" s="45">
        <f t="shared" si="1"/>
        <v>1183.9</v>
      </c>
      <c r="J13" s="45">
        <f t="shared" si="1"/>
        <v>80184.70000000001</v>
      </c>
      <c r="K13" s="302">
        <f t="shared" si="1"/>
        <v>79381.6</v>
      </c>
      <c r="L13" s="45">
        <f t="shared" si="1"/>
        <v>803.1000000000001</v>
      </c>
      <c r="M13" s="45">
        <f t="shared" si="1"/>
        <v>80287.8</v>
      </c>
      <c r="N13" s="302">
        <f t="shared" si="1"/>
        <v>79481.6</v>
      </c>
      <c r="O13" s="45">
        <f t="shared" si="1"/>
        <v>806.2</v>
      </c>
      <c r="P13" s="45"/>
      <c r="Q13" s="45"/>
    </row>
    <row r="14" spans="1:17" ht="12.75">
      <c r="A14" s="29" t="s">
        <v>334</v>
      </c>
      <c r="B14" s="303" t="s">
        <v>344</v>
      </c>
      <c r="C14" s="301" t="s">
        <v>325</v>
      </c>
      <c r="D14" s="304" t="s">
        <v>368</v>
      </c>
      <c r="E14" s="304" t="s">
        <v>350</v>
      </c>
      <c r="F14" s="304" t="s">
        <v>335</v>
      </c>
      <c r="G14" s="45">
        <f t="shared" si="1"/>
        <v>118252</v>
      </c>
      <c r="H14" s="302">
        <f t="shared" si="1"/>
        <v>117068.1</v>
      </c>
      <c r="I14" s="45">
        <f t="shared" si="1"/>
        <v>1183.9</v>
      </c>
      <c r="J14" s="45">
        <f t="shared" si="1"/>
        <v>80184.70000000001</v>
      </c>
      <c r="K14" s="302">
        <f t="shared" si="1"/>
        <v>79381.6</v>
      </c>
      <c r="L14" s="45">
        <f t="shared" si="1"/>
        <v>803.1000000000001</v>
      </c>
      <c r="M14" s="45">
        <f t="shared" si="1"/>
        <v>80287.8</v>
      </c>
      <c r="N14" s="302">
        <f t="shared" si="1"/>
        <v>79481.6</v>
      </c>
      <c r="O14" s="45">
        <f t="shared" si="1"/>
        <v>806.2</v>
      </c>
      <c r="P14" s="45"/>
      <c r="Q14" s="45"/>
    </row>
    <row r="15" spans="1:18" s="502" customFormat="1" ht="12.75">
      <c r="A15" s="503" t="s">
        <v>342</v>
      </c>
      <c r="B15" s="356" t="s">
        <v>344</v>
      </c>
      <c r="C15" s="357" t="s">
        <v>325</v>
      </c>
      <c r="D15" s="358" t="s">
        <v>368</v>
      </c>
      <c r="E15" s="358" t="s">
        <v>350</v>
      </c>
      <c r="F15" s="358" t="s">
        <v>335</v>
      </c>
      <c r="G15" s="359">
        <f>H15+I15</f>
        <v>118252</v>
      </c>
      <c r="H15" s="360">
        <f>SUM(H16:H26)</f>
        <v>117068.1</v>
      </c>
      <c r="I15" s="359">
        <f>SUM(I16:I26)</f>
        <v>1183.9</v>
      </c>
      <c r="J15" s="359">
        <f>K15+L15</f>
        <v>80184.70000000001</v>
      </c>
      <c r="K15" s="360">
        <f>SUM(K17:K26)</f>
        <v>79381.6</v>
      </c>
      <c r="L15" s="359">
        <f>SUM(L17:L26)</f>
        <v>803.1000000000001</v>
      </c>
      <c r="M15" s="359">
        <f>N15+O15</f>
        <v>80287.8</v>
      </c>
      <c r="N15" s="360">
        <f>SUM(N17:N26)</f>
        <v>79481.6</v>
      </c>
      <c r="O15" s="359">
        <f>SUM(O17:O26)</f>
        <v>806.2</v>
      </c>
      <c r="P15" s="359">
        <f>K15/H15*100</f>
        <v>67.80805360298835</v>
      </c>
      <c r="Q15" s="359">
        <f>N15*100/K15</f>
        <v>100.12597377729853</v>
      </c>
      <c r="R15" s="376"/>
    </row>
    <row r="16" spans="1:18" s="89" customFormat="1" ht="12.75">
      <c r="A16" s="255" t="s">
        <v>197</v>
      </c>
      <c r="B16" s="306"/>
      <c r="C16" s="307"/>
      <c r="D16" s="308"/>
      <c r="E16" s="308"/>
      <c r="F16" s="308"/>
      <c r="G16" s="207"/>
      <c r="H16" s="309"/>
      <c r="I16" s="426"/>
      <c r="J16" s="207"/>
      <c r="K16" s="309"/>
      <c r="L16" s="207"/>
      <c r="M16" s="207"/>
      <c r="N16" s="309">
        <f>100</f>
        <v>100</v>
      </c>
      <c r="O16" s="207">
        <f>3.1</f>
        <v>3.1</v>
      </c>
      <c r="P16" s="207"/>
      <c r="Q16" s="207"/>
      <c r="R16" s="310"/>
    </row>
    <row r="17" spans="1:18" s="20" customFormat="1" ht="25.5">
      <c r="A17" s="280" t="s">
        <v>237</v>
      </c>
      <c r="B17" s="311"/>
      <c r="C17" s="312"/>
      <c r="D17" s="313"/>
      <c r="E17" s="313"/>
      <c r="F17" s="313"/>
      <c r="G17" s="314">
        <f>H17+I17</f>
        <v>24485.800000000003</v>
      </c>
      <c r="H17" s="278">
        <v>24240.9</v>
      </c>
      <c r="I17" s="273">
        <v>244.9</v>
      </c>
      <c r="J17" s="314"/>
      <c r="K17" s="315">
        <v>22229.5</v>
      </c>
      <c r="L17" s="314">
        <v>224.5</v>
      </c>
      <c r="M17" s="314"/>
      <c r="N17" s="278">
        <v>22229.5</v>
      </c>
      <c r="O17" s="279">
        <v>224.5</v>
      </c>
      <c r="P17" s="314"/>
      <c r="Q17" s="314"/>
      <c r="R17" s="316"/>
    </row>
    <row r="18" spans="1:18" s="20" customFormat="1" ht="25.5">
      <c r="A18" s="280" t="s">
        <v>238</v>
      </c>
      <c r="B18" s="311"/>
      <c r="C18" s="312"/>
      <c r="D18" s="313"/>
      <c r="E18" s="313"/>
      <c r="F18" s="313"/>
      <c r="G18" s="314">
        <f aca="true" t="shared" si="2" ref="G18:G27">H18+I18</f>
        <v>1500</v>
      </c>
      <c r="H18" s="278">
        <v>1485</v>
      </c>
      <c r="I18" s="273">
        <v>15</v>
      </c>
      <c r="J18" s="314"/>
      <c r="K18" s="315">
        <v>149</v>
      </c>
      <c r="L18" s="314">
        <v>1.5</v>
      </c>
      <c r="M18" s="314"/>
      <c r="N18" s="278">
        <v>149</v>
      </c>
      <c r="O18" s="279">
        <v>1.5</v>
      </c>
      <c r="P18" s="314"/>
      <c r="Q18" s="314"/>
      <c r="R18" s="316"/>
    </row>
    <row r="19" spans="1:18" s="20" customFormat="1" ht="38.25">
      <c r="A19" s="281" t="s">
        <v>239</v>
      </c>
      <c r="B19" s="311"/>
      <c r="C19" s="312"/>
      <c r="D19" s="313"/>
      <c r="E19" s="313"/>
      <c r="F19" s="313"/>
      <c r="G19" s="314">
        <f t="shared" si="2"/>
        <v>36782.100000000006</v>
      </c>
      <c r="H19" s="278">
        <v>36414.3</v>
      </c>
      <c r="I19" s="273">
        <v>367.8</v>
      </c>
      <c r="J19" s="314"/>
      <c r="K19" s="315">
        <v>9928.3</v>
      </c>
      <c r="L19" s="314">
        <v>100.3</v>
      </c>
      <c r="M19" s="314"/>
      <c r="N19" s="278">
        <v>9928.3</v>
      </c>
      <c r="O19" s="279">
        <v>100.3</v>
      </c>
      <c r="P19" s="314"/>
      <c r="Q19" s="314"/>
      <c r="R19" s="316"/>
    </row>
    <row r="20" spans="1:18" s="20" customFormat="1" ht="25.5">
      <c r="A20" s="282" t="s">
        <v>240</v>
      </c>
      <c r="B20" s="311"/>
      <c r="C20" s="312"/>
      <c r="D20" s="313"/>
      <c r="E20" s="313"/>
      <c r="F20" s="313"/>
      <c r="G20" s="314">
        <f t="shared" si="2"/>
        <v>14596</v>
      </c>
      <c r="H20" s="278">
        <v>14450</v>
      </c>
      <c r="I20" s="273">
        <v>146</v>
      </c>
      <c r="J20" s="314"/>
      <c r="K20" s="315">
        <v>9336.3</v>
      </c>
      <c r="L20" s="314">
        <v>94.3</v>
      </c>
      <c r="M20" s="314"/>
      <c r="N20" s="278">
        <v>9336.3</v>
      </c>
      <c r="O20" s="279">
        <v>94.3</v>
      </c>
      <c r="P20" s="314"/>
      <c r="Q20" s="314"/>
      <c r="R20" s="316"/>
    </row>
    <row r="21" spans="1:18" s="89" customFormat="1" ht="12.75">
      <c r="A21" s="283" t="s">
        <v>241</v>
      </c>
      <c r="B21" s="306"/>
      <c r="C21" s="307"/>
      <c r="D21" s="308"/>
      <c r="E21" s="308"/>
      <c r="F21" s="308"/>
      <c r="G21" s="314"/>
      <c r="H21" s="277"/>
      <c r="I21" s="273"/>
      <c r="J21" s="207"/>
      <c r="K21" s="309"/>
      <c r="L21" s="207"/>
      <c r="M21" s="207"/>
      <c r="N21" s="277">
        <v>100</v>
      </c>
      <c r="O21" s="275">
        <v>3.1</v>
      </c>
      <c r="P21" s="207"/>
      <c r="Q21" s="207"/>
      <c r="R21" s="310"/>
    </row>
    <row r="22" spans="1:18" s="20" customFormat="1" ht="25.5">
      <c r="A22" s="281" t="s">
        <v>242</v>
      </c>
      <c r="B22" s="311"/>
      <c r="C22" s="312"/>
      <c r="D22" s="313"/>
      <c r="E22" s="313"/>
      <c r="F22" s="313"/>
      <c r="G22" s="314">
        <f t="shared" si="2"/>
        <v>27552.8</v>
      </c>
      <c r="H22" s="278">
        <v>27277.3</v>
      </c>
      <c r="I22" s="273">
        <v>275.5</v>
      </c>
      <c r="J22" s="314"/>
      <c r="K22" s="315">
        <v>25527.1</v>
      </c>
      <c r="L22" s="314">
        <v>257.8</v>
      </c>
      <c r="M22" s="314"/>
      <c r="N22" s="278">
        <v>25527.1</v>
      </c>
      <c r="O22" s="279">
        <v>257.8</v>
      </c>
      <c r="P22" s="314"/>
      <c r="Q22" s="314"/>
      <c r="R22" s="316"/>
    </row>
    <row r="23" spans="1:18" s="20" customFormat="1" ht="12.75">
      <c r="A23" s="281" t="s">
        <v>243</v>
      </c>
      <c r="B23" s="311"/>
      <c r="C23" s="312"/>
      <c r="D23" s="313"/>
      <c r="E23" s="313"/>
      <c r="F23" s="313"/>
      <c r="G23" s="314">
        <f t="shared" si="2"/>
        <v>65.10000000000218</v>
      </c>
      <c r="H23" s="278">
        <v>63.10000000000218</v>
      </c>
      <c r="I23" s="273">
        <v>2</v>
      </c>
      <c r="J23" s="314"/>
      <c r="K23" s="315">
        <v>63.1</v>
      </c>
      <c r="L23" s="314">
        <v>2</v>
      </c>
      <c r="M23" s="314"/>
      <c r="N23" s="278">
        <v>63.1</v>
      </c>
      <c r="O23" s="279">
        <v>2</v>
      </c>
      <c r="P23" s="314"/>
      <c r="Q23" s="314"/>
      <c r="R23" s="316"/>
    </row>
    <row r="24" spans="1:18" s="20" customFormat="1" ht="51" customHeight="1">
      <c r="A24" s="280" t="s">
        <v>244</v>
      </c>
      <c r="B24" s="311"/>
      <c r="C24" s="312"/>
      <c r="D24" s="313"/>
      <c r="E24" s="313"/>
      <c r="F24" s="313"/>
      <c r="G24" s="314">
        <f t="shared" si="2"/>
        <v>1335.6000000000001</v>
      </c>
      <c r="H24" s="278">
        <v>1322.2</v>
      </c>
      <c r="I24" s="273">
        <v>13.4</v>
      </c>
      <c r="J24" s="314"/>
      <c r="K24" s="315">
        <v>352.3</v>
      </c>
      <c r="L24" s="314">
        <v>3.6</v>
      </c>
      <c r="M24" s="314"/>
      <c r="N24" s="278">
        <v>352.3</v>
      </c>
      <c r="O24" s="279">
        <v>3.6</v>
      </c>
      <c r="P24" s="314"/>
      <c r="Q24" s="314"/>
      <c r="R24" s="316"/>
    </row>
    <row r="25" spans="1:18" s="20" customFormat="1" ht="25.5">
      <c r="A25" s="242" t="s">
        <v>245</v>
      </c>
      <c r="B25" s="311"/>
      <c r="C25" s="312"/>
      <c r="D25" s="313"/>
      <c r="E25" s="313"/>
      <c r="F25" s="313"/>
      <c r="G25" s="314">
        <f t="shared" si="2"/>
        <v>1114</v>
      </c>
      <c r="H25" s="278">
        <v>1102.9</v>
      </c>
      <c r="I25" s="273">
        <v>11.1</v>
      </c>
      <c r="J25" s="314"/>
      <c r="K25" s="315">
        <v>1083.6</v>
      </c>
      <c r="L25" s="314">
        <v>10.9</v>
      </c>
      <c r="M25" s="314"/>
      <c r="N25" s="315">
        <v>1083.6</v>
      </c>
      <c r="O25" s="314">
        <v>10.9</v>
      </c>
      <c r="P25" s="314"/>
      <c r="Q25" s="314"/>
      <c r="R25" s="316"/>
    </row>
    <row r="26" spans="1:18" s="20" customFormat="1" ht="12.75">
      <c r="A26" s="482" t="s">
        <v>191</v>
      </c>
      <c r="B26" s="311"/>
      <c r="C26" s="312"/>
      <c r="D26" s="313"/>
      <c r="E26" s="313"/>
      <c r="F26" s="317"/>
      <c r="G26" s="314">
        <f t="shared" si="2"/>
        <v>10820.6</v>
      </c>
      <c r="H26" s="315">
        <f>H27</f>
        <v>10712.4</v>
      </c>
      <c r="I26" s="45">
        <f>I27</f>
        <v>108.2</v>
      </c>
      <c r="J26" s="314"/>
      <c r="K26" s="315">
        <f>K27</f>
        <v>10712.4</v>
      </c>
      <c r="L26" s="314">
        <f>L27</f>
        <v>108.2</v>
      </c>
      <c r="M26" s="314"/>
      <c r="N26" s="315">
        <f>N27</f>
        <v>10712.4</v>
      </c>
      <c r="O26" s="314">
        <f>O27</f>
        <v>108.2</v>
      </c>
      <c r="P26" s="314"/>
      <c r="Q26" s="314"/>
      <c r="R26" s="316"/>
    </row>
    <row r="27" spans="1:18" s="20" customFormat="1" ht="12.75">
      <c r="A27" s="242" t="s">
        <v>167</v>
      </c>
      <c r="B27" s="311"/>
      <c r="C27" s="312"/>
      <c r="D27" s="313"/>
      <c r="E27" s="313"/>
      <c r="F27" s="317"/>
      <c r="G27" s="314">
        <f t="shared" si="2"/>
        <v>10820.6</v>
      </c>
      <c r="H27" s="315">
        <v>10712.4</v>
      </c>
      <c r="I27" s="45">
        <v>108.2</v>
      </c>
      <c r="J27" s="314"/>
      <c r="K27" s="315">
        <v>10712.4</v>
      </c>
      <c r="L27" s="314">
        <v>108.2</v>
      </c>
      <c r="M27" s="314"/>
      <c r="N27" s="315">
        <v>10712.4</v>
      </c>
      <c r="O27" s="314">
        <v>108.2</v>
      </c>
      <c r="P27" s="314"/>
      <c r="Q27" s="314"/>
      <c r="R27" s="316"/>
    </row>
    <row r="28" spans="1:17" ht="12.75">
      <c r="A28" s="190" t="s">
        <v>161</v>
      </c>
      <c r="B28" s="303" t="s">
        <v>344</v>
      </c>
      <c r="C28" s="301" t="s">
        <v>325</v>
      </c>
      <c r="D28" s="304" t="s">
        <v>162</v>
      </c>
      <c r="E28" s="304"/>
      <c r="F28" s="318"/>
      <c r="G28" s="45">
        <f>H28+I28</f>
        <v>6432.4</v>
      </c>
      <c r="H28" s="302">
        <f>H29+H34</f>
        <v>6368</v>
      </c>
      <c r="I28" s="45">
        <f>I29+I34</f>
        <v>64.4</v>
      </c>
      <c r="J28" s="45">
        <f>K28+L28</f>
        <v>582.6999999999999</v>
      </c>
      <c r="K28" s="302">
        <f>K29+K34</f>
        <v>576.9</v>
      </c>
      <c r="L28" s="45">
        <f>L29+L34</f>
        <v>5.8</v>
      </c>
      <c r="M28" s="45">
        <f>N28+O28</f>
        <v>582.6999999999999</v>
      </c>
      <c r="N28" s="302">
        <f>N29+N34</f>
        <v>576.9</v>
      </c>
      <c r="O28" s="45">
        <f>O29+O34</f>
        <v>5.8</v>
      </c>
      <c r="P28" s="45">
        <v>0</v>
      </c>
      <c r="Q28" s="45">
        <v>0</v>
      </c>
    </row>
    <row r="29" spans="1:17" ht="12.75">
      <c r="A29" s="190" t="s">
        <v>163</v>
      </c>
      <c r="B29" s="303" t="s">
        <v>344</v>
      </c>
      <c r="C29" s="301" t="s">
        <v>325</v>
      </c>
      <c r="D29" s="304" t="s">
        <v>162</v>
      </c>
      <c r="E29" s="304" t="s">
        <v>347</v>
      </c>
      <c r="F29" s="318"/>
      <c r="G29" s="45">
        <f aca="true" t="shared" si="3" ref="G29:O30">G30</f>
        <v>2456.7</v>
      </c>
      <c r="H29" s="302">
        <f t="shared" si="3"/>
        <v>2432.1</v>
      </c>
      <c r="I29" s="45">
        <f t="shared" si="3"/>
        <v>24.6</v>
      </c>
      <c r="J29" s="45">
        <f t="shared" si="3"/>
        <v>582.6999999999999</v>
      </c>
      <c r="K29" s="302">
        <f>K30</f>
        <v>576.9</v>
      </c>
      <c r="L29" s="45">
        <f t="shared" si="3"/>
        <v>5.8</v>
      </c>
      <c r="M29" s="45">
        <f t="shared" si="3"/>
        <v>582.6999999999999</v>
      </c>
      <c r="N29" s="302">
        <f t="shared" si="3"/>
        <v>576.9</v>
      </c>
      <c r="O29" s="45">
        <f t="shared" si="3"/>
        <v>5.8</v>
      </c>
      <c r="P29" s="45"/>
      <c r="Q29" s="45"/>
    </row>
    <row r="30" spans="1:17" ht="12.75">
      <c r="A30" s="29" t="s">
        <v>334</v>
      </c>
      <c r="B30" s="303" t="s">
        <v>344</v>
      </c>
      <c r="C30" s="301" t="s">
        <v>325</v>
      </c>
      <c r="D30" s="304" t="s">
        <v>162</v>
      </c>
      <c r="E30" s="304" t="s">
        <v>347</v>
      </c>
      <c r="F30" s="304" t="s">
        <v>335</v>
      </c>
      <c r="G30" s="45">
        <f t="shared" si="3"/>
        <v>2456.7</v>
      </c>
      <c r="H30" s="302">
        <f t="shared" si="3"/>
        <v>2432.1</v>
      </c>
      <c r="I30" s="45">
        <f t="shared" si="3"/>
        <v>24.6</v>
      </c>
      <c r="J30" s="45">
        <f t="shared" si="3"/>
        <v>582.6999999999999</v>
      </c>
      <c r="K30" s="302">
        <f>K31</f>
        <v>576.9</v>
      </c>
      <c r="L30" s="45">
        <f t="shared" si="3"/>
        <v>5.8</v>
      </c>
      <c r="M30" s="45">
        <f t="shared" si="3"/>
        <v>582.6999999999999</v>
      </c>
      <c r="N30" s="302">
        <f t="shared" si="3"/>
        <v>576.9</v>
      </c>
      <c r="O30" s="45">
        <f t="shared" si="3"/>
        <v>5.8</v>
      </c>
      <c r="P30" s="45"/>
      <c r="Q30" s="45"/>
    </row>
    <row r="31" spans="1:18" s="502" customFormat="1" ht="12.75">
      <c r="A31" s="503" t="s">
        <v>342</v>
      </c>
      <c r="B31" s="356" t="s">
        <v>344</v>
      </c>
      <c r="C31" s="357" t="s">
        <v>325</v>
      </c>
      <c r="D31" s="358" t="s">
        <v>162</v>
      </c>
      <c r="E31" s="358" t="s">
        <v>347</v>
      </c>
      <c r="F31" s="358" t="s">
        <v>335</v>
      </c>
      <c r="G31" s="359">
        <f>H31+I31</f>
        <v>2456.7</v>
      </c>
      <c r="H31" s="360">
        <f>SUM(H32:H33)</f>
        <v>2432.1</v>
      </c>
      <c r="I31" s="359">
        <f>SUM(I32:I33)</f>
        <v>24.6</v>
      </c>
      <c r="J31" s="359">
        <f>K31+L31</f>
        <v>582.6999999999999</v>
      </c>
      <c r="K31" s="360">
        <f>SUM(K32:K33)</f>
        <v>576.9</v>
      </c>
      <c r="L31" s="359">
        <f>SUM(L32:L33)</f>
        <v>5.8</v>
      </c>
      <c r="M31" s="359">
        <f>N31+O31</f>
        <v>582.6999999999999</v>
      </c>
      <c r="N31" s="360">
        <f>SUM(N32:N33)</f>
        <v>576.9</v>
      </c>
      <c r="O31" s="359">
        <f>SUM(O32:O33)</f>
        <v>5.8</v>
      </c>
      <c r="P31" s="359">
        <v>0</v>
      </c>
      <c r="Q31" s="359">
        <v>0</v>
      </c>
      <c r="R31" s="376"/>
    </row>
    <row r="32" spans="1:18" s="20" customFormat="1" ht="25.5">
      <c r="A32" s="330" t="s">
        <v>246</v>
      </c>
      <c r="B32" s="311"/>
      <c r="C32" s="312"/>
      <c r="D32" s="313"/>
      <c r="E32" s="313"/>
      <c r="F32" s="313"/>
      <c r="G32" s="314"/>
      <c r="H32" s="315">
        <v>887.9</v>
      </c>
      <c r="I32" s="45">
        <v>9</v>
      </c>
      <c r="J32" s="314"/>
      <c r="K32" s="315">
        <v>3.9</v>
      </c>
      <c r="L32" s="314">
        <v>0</v>
      </c>
      <c r="M32" s="314"/>
      <c r="N32" s="315">
        <v>3.9</v>
      </c>
      <c r="O32" s="314">
        <v>0</v>
      </c>
      <c r="P32" s="314"/>
      <c r="Q32" s="314"/>
      <c r="R32" s="316"/>
    </row>
    <row r="33" spans="1:18" s="20" customFormat="1" ht="25.5">
      <c r="A33" s="330" t="s">
        <v>192</v>
      </c>
      <c r="B33" s="311"/>
      <c r="C33" s="312"/>
      <c r="D33" s="313"/>
      <c r="E33" s="313"/>
      <c r="F33" s="313"/>
      <c r="G33" s="314"/>
      <c r="H33" s="315">
        <v>1544.2</v>
      </c>
      <c r="I33" s="45">
        <v>15.6</v>
      </c>
      <c r="J33" s="314"/>
      <c r="K33" s="315">
        <v>573</v>
      </c>
      <c r="L33" s="314">
        <v>5.8</v>
      </c>
      <c r="M33" s="314"/>
      <c r="N33" s="315">
        <v>573</v>
      </c>
      <c r="O33" s="314">
        <v>5.8</v>
      </c>
      <c r="P33" s="314"/>
      <c r="Q33" s="314"/>
      <c r="R33" s="316"/>
    </row>
    <row r="34" spans="1:17" ht="12.75">
      <c r="A34" s="190" t="s">
        <v>164</v>
      </c>
      <c r="B34" s="303" t="s">
        <v>344</v>
      </c>
      <c r="C34" s="301" t="s">
        <v>325</v>
      </c>
      <c r="D34" s="304" t="s">
        <v>162</v>
      </c>
      <c r="E34" s="304" t="s">
        <v>353</v>
      </c>
      <c r="F34" s="318"/>
      <c r="G34" s="45">
        <f aca="true" t="shared" si="4" ref="G34:O35">G35</f>
        <v>3975.7000000000003</v>
      </c>
      <c r="H34" s="302">
        <f t="shared" si="4"/>
        <v>3935.9</v>
      </c>
      <c r="I34" s="45">
        <f t="shared" si="4"/>
        <v>39.8</v>
      </c>
      <c r="J34" s="45">
        <f t="shared" si="4"/>
        <v>0</v>
      </c>
      <c r="K34" s="302">
        <f t="shared" si="4"/>
        <v>0</v>
      </c>
      <c r="L34" s="45">
        <f t="shared" si="4"/>
        <v>0</v>
      </c>
      <c r="M34" s="45">
        <f t="shared" si="4"/>
        <v>0</v>
      </c>
      <c r="N34" s="302">
        <f t="shared" si="4"/>
        <v>0</v>
      </c>
      <c r="O34" s="45">
        <f t="shared" si="4"/>
        <v>0</v>
      </c>
      <c r="P34" s="45"/>
      <c r="Q34" s="45"/>
    </row>
    <row r="35" spans="1:17" ht="12.75">
      <c r="A35" s="29" t="s">
        <v>334</v>
      </c>
      <c r="B35" s="303" t="s">
        <v>344</v>
      </c>
      <c r="C35" s="301" t="s">
        <v>325</v>
      </c>
      <c r="D35" s="304" t="s">
        <v>162</v>
      </c>
      <c r="E35" s="304" t="s">
        <v>353</v>
      </c>
      <c r="F35" s="304" t="s">
        <v>335</v>
      </c>
      <c r="G35" s="45">
        <f t="shared" si="4"/>
        <v>3975.7000000000003</v>
      </c>
      <c r="H35" s="302">
        <f t="shared" si="4"/>
        <v>3935.9</v>
      </c>
      <c r="I35" s="45">
        <f t="shared" si="4"/>
        <v>39.8</v>
      </c>
      <c r="J35" s="45">
        <f t="shared" si="4"/>
        <v>0</v>
      </c>
      <c r="K35" s="302">
        <f t="shared" si="4"/>
        <v>0</v>
      </c>
      <c r="L35" s="45">
        <f t="shared" si="4"/>
        <v>0</v>
      </c>
      <c r="M35" s="45">
        <f t="shared" si="4"/>
        <v>0</v>
      </c>
      <c r="N35" s="302">
        <f t="shared" si="4"/>
        <v>0</v>
      </c>
      <c r="O35" s="45">
        <f t="shared" si="4"/>
        <v>0</v>
      </c>
      <c r="P35" s="45"/>
      <c r="Q35" s="45"/>
    </row>
    <row r="36" spans="1:18" s="502" customFormat="1" ht="12.75">
      <c r="A36" s="503" t="s">
        <v>342</v>
      </c>
      <c r="B36" s="356" t="s">
        <v>344</v>
      </c>
      <c r="C36" s="357" t="s">
        <v>325</v>
      </c>
      <c r="D36" s="358" t="s">
        <v>162</v>
      </c>
      <c r="E36" s="358" t="s">
        <v>353</v>
      </c>
      <c r="F36" s="358" t="s">
        <v>335</v>
      </c>
      <c r="G36" s="359">
        <f>H36+I36</f>
        <v>3975.7000000000003</v>
      </c>
      <c r="H36" s="360">
        <f>H37</f>
        <v>3935.9</v>
      </c>
      <c r="I36" s="359">
        <f>I37</f>
        <v>39.8</v>
      </c>
      <c r="J36" s="359">
        <f>K36+L36</f>
        <v>0</v>
      </c>
      <c r="K36" s="360">
        <f>K37</f>
        <v>0</v>
      </c>
      <c r="L36" s="359">
        <f>L37</f>
        <v>0</v>
      </c>
      <c r="M36" s="359">
        <f>N36+O36</f>
        <v>0</v>
      </c>
      <c r="N36" s="360">
        <f>N37</f>
        <v>0</v>
      </c>
      <c r="O36" s="359">
        <f>O37</f>
        <v>0</v>
      </c>
      <c r="P36" s="359"/>
      <c r="Q36" s="359"/>
      <c r="R36" s="376"/>
    </row>
    <row r="37" spans="1:18" s="20" customFormat="1" ht="25.5">
      <c r="A37" s="330" t="s">
        <v>193</v>
      </c>
      <c r="B37" s="311"/>
      <c r="C37" s="312"/>
      <c r="D37" s="313"/>
      <c r="E37" s="313"/>
      <c r="F37" s="317"/>
      <c r="G37" s="314"/>
      <c r="H37" s="315">
        <v>3935.9</v>
      </c>
      <c r="I37" s="45">
        <v>39.8</v>
      </c>
      <c r="J37" s="314"/>
      <c r="K37" s="315">
        <v>0</v>
      </c>
      <c r="L37" s="314">
        <v>0</v>
      </c>
      <c r="M37" s="314"/>
      <c r="N37" s="315">
        <v>0</v>
      </c>
      <c r="O37" s="314">
        <v>0</v>
      </c>
      <c r="P37" s="314"/>
      <c r="Q37" s="314"/>
      <c r="R37" s="316"/>
    </row>
    <row r="38" spans="1:17" ht="38.25">
      <c r="A38" s="29" t="s">
        <v>337</v>
      </c>
      <c r="B38" s="303" t="s">
        <v>344</v>
      </c>
      <c r="C38" s="301" t="s">
        <v>325</v>
      </c>
      <c r="D38" s="319">
        <v>14</v>
      </c>
      <c r="E38" s="304"/>
      <c r="F38" s="304"/>
      <c r="G38" s="45">
        <f>G39</f>
        <v>105798.1</v>
      </c>
      <c r="H38" s="302">
        <f aca="true" t="shared" si="5" ref="H38:I40">H39</f>
        <v>104740.20000000001</v>
      </c>
      <c r="I38" s="45">
        <f t="shared" si="5"/>
        <v>1057.8999999999999</v>
      </c>
      <c r="J38" s="45">
        <f aca="true" t="shared" si="6" ref="J38:L40">J39</f>
        <v>31720.100000000002</v>
      </c>
      <c r="K38" s="302">
        <f t="shared" si="6"/>
        <v>31402.800000000003</v>
      </c>
      <c r="L38" s="45">
        <f t="shared" si="6"/>
        <v>317.30000000000007</v>
      </c>
      <c r="M38" s="45">
        <f aca="true" t="shared" si="7" ref="M38:O40">M39</f>
        <v>55693.9</v>
      </c>
      <c r="N38" s="302">
        <f t="shared" si="7"/>
        <v>54287.9</v>
      </c>
      <c r="O38" s="45">
        <f t="shared" si="7"/>
        <v>1406</v>
      </c>
      <c r="P38" s="45">
        <f>K38/H38*100</f>
        <v>29.981611644812595</v>
      </c>
      <c r="Q38" s="45">
        <f>N38*100/K38</f>
        <v>172.8759855809036</v>
      </c>
    </row>
    <row r="39" spans="1:17" ht="12.75">
      <c r="A39" s="29" t="s">
        <v>338</v>
      </c>
      <c r="B39" s="303" t="s">
        <v>344</v>
      </c>
      <c r="C39" s="301" t="s">
        <v>325</v>
      </c>
      <c r="D39" s="319">
        <v>14</v>
      </c>
      <c r="E39" s="304" t="s">
        <v>331</v>
      </c>
      <c r="F39" s="304"/>
      <c r="G39" s="45">
        <f>G40</f>
        <v>105798.1</v>
      </c>
      <c r="H39" s="302">
        <f t="shared" si="5"/>
        <v>104740.20000000001</v>
      </c>
      <c r="I39" s="45">
        <f t="shared" si="5"/>
        <v>1057.8999999999999</v>
      </c>
      <c r="J39" s="45">
        <f t="shared" si="6"/>
        <v>31720.100000000002</v>
      </c>
      <c r="K39" s="302">
        <f t="shared" si="6"/>
        <v>31402.800000000003</v>
      </c>
      <c r="L39" s="45">
        <f t="shared" si="6"/>
        <v>317.30000000000007</v>
      </c>
      <c r="M39" s="45">
        <f t="shared" si="7"/>
        <v>55693.9</v>
      </c>
      <c r="N39" s="302">
        <f t="shared" si="7"/>
        <v>54287.9</v>
      </c>
      <c r="O39" s="45">
        <f t="shared" si="7"/>
        <v>1406</v>
      </c>
      <c r="P39" s="45"/>
      <c r="Q39" s="45"/>
    </row>
    <row r="40" spans="1:17" ht="12.75">
      <c r="A40" s="29" t="s">
        <v>334</v>
      </c>
      <c r="B40" s="303" t="s">
        <v>344</v>
      </c>
      <c r="C40" s="301" t="s">
        <v>325</v>
      </c>
      <c r="D40" s="319">
        <v>14</v>
      </c>
      <c r="E40" s="304" t="s">
        <v>331</v>
      </c>
      <c r="F40" s="304" t="s">
        <v>335</v>
      </c>
      <c r="G40" s="45">
        <f>G41</f>
        <v>105798.1</v>
      </c>
      <c r="H40" s="302">
        <f>H41</f>
        <v>104740.20000000001</v>
      </c>
      <c r="I40" s="45">
        <f t="shared" si="5"/>
        <v>1057.8999999999999</v>
      </c>
      <c r="J40" s="45">
        <f t="shared" si="6"/>
        <v>31720.100000000002</v>
      </c>
      <c r="K40" s="302">
        <f t="shared" si="6"/>
        <v>31402.800000000003</v>
      </c>
      <c r="L40" s="45">
        <f t="shared" si="6"/>
        <v>317.30000000000007</v>
      </c>
      <c r="M40" s="45">
        <f t="shared" si="7"/>
        <v>55693.9</v>
      </c>
      <c r="N40" s="302">
        <f>N41</f>
        <v>54287.9</v>
      </c>
      <c r="O40" s="45">
        <f>O41</f>
        <v>1406</v>
      </c>
      <c r="P40" s="45"/>
      <c r="Q40" s="45"/>
    </row>
    <row r="41" spans="1:18" s="502" customFormat="1" ht="12.75">
      <c r="A41" s="503" t="s">
        <v>342</v>
      </c>
      <c r="B41" s="356" t="s">
        <v>344</v>
      </c>
      <c r="C41" s="357" t="s">
        <v>325</v>
      </c>
      <c r="D41" s="504">
        <v>14</v>
      </c>
      <c r="E41" s="358" t="s">
        <v>331</v>
      </c>
      <c r="F41" s="358" t="s">
        <v>335</v>
      </c>
      <c r="G41" s="359">
        <f>SUM(H41+I41)</f>
        <v>105798.1</v>
      </c>
      <c r="H41" s="360">
        <f>SUM(H42:H47)</f>
        <v>104740.20000000001</v>
      </c>
      <c r="I41" s="359">
        <f>SUM(I42:I47)</f>
        <v>1057.8999999999999</v>
      </c>
      <c r="J41" s="359">
        <f>SUM(K41+L41)</f>
        <v>31720.100000000002</v>
      </c>
      <c r="K41" s="360">
        <f>SUM(K42:K47)</f>
        <v>31402.800000000003</v>
      </c>
      <c r="L41" s="359">
        <f>SUM(L42:L47)</f>
        <v>317.30000000000007</v>
      </c>
      <c r="M41" s="359">
        <f>SUM(N41+O41)</f>
        <v>55693.9</v>
      </c>
      <c r="N41" s="360">
        <f>N43+N47+N42</f>
        <v>54287.9</v>
      </c>
      <c r="O41" s="359">
        <f>O43+O47+O42</f>
        <v>1406</v>
      </c>
      <c r="P41" s="359">
        <f>K41/H41*100</f>
        <v>29.981611644812595</v>
      </c>
      <c r="Q41" s="359">
        <f>N41*100/K41</f>
        <v>172.8759855809036</v>
      </c>
      <c r="R41" s="376"/>
    </row>
    <row r="42" spans="1:18" s="89" customFormat="1" ht="12.75">
      <c r="A42" s="255" t="s">
        <v>197</v>
      </c>
      <c r="B42" s="306"/>
      <c r="C42" s="307"/>
      <c r="D42" s="308"/>
      <c r="E42" s="308"/>
      <c r="F42" s="308"/>
      <c r="G42" s="207"/>
      <c r="H42" s="309"/>
      <c r="I42" s="426"/>
      <c r="J42" s="207"/>
      <c r="K42" s="309"/>
      <c r="L42" s="207"/>
      <c r="M42" s="207"/>
      <c r="N42" s="309">
        <f>N44+N45+N46+N50+N56+N57+N58</f>
        <v>22885.1</v>
      </c>
      <c r="O42" s="207">
        <f>O44+O45+O46+O50+O56+O57+O58</f>
        <v>1088.7</v>
      </c>
      <c r="P42" s="207"/>
      <c r="Q42" s="207"/>
      <c r="R42" s="310"/>
    </row>
    <row r="43" spans="1:18" s="20" customFormat="1" ht="12.75">
      <c r="A43" s="242" t="s">
        <v>247</v>
      </c>
      <c r="B43" s="311"/>
      <c r="C43" s="312"/>
      <c r="D43" s="332"/>
      <c r="E43" s="313"/>
      <c r="F43" s="313"/>
      <c r="G43" s="314"/>
      <c r="H43" s="315">
        <v>719.9</v>
      </c>
      <c r="I43" s="45">
        <v>7.3</v>
      </c>
      <c r="J43" s="314"/>
      <c r="K43" s="315">
        <v>718.4</v>
      </c>
      <c r="L43" s="314">
        <v>7.3</v>
      </c>
      <c r="M43" s="314"/>
      <c r="N43" s="315">
        <v>718.4</v>
      </c>
      <c r="O43" s="314">
        <v>7.3</v>
      </c>
      <c r="P43" s="314"/>
      <c r="Q43" s="314"/>
      <c r="R43" s="316"/>
    </row>
    <row r="44" spans="1:18" ht="12.75">
      <c r="A44" s="248" t="s">
        <v>241</v>
      </c>
      <c r="B44" s="322"/>
      <c r="C44" s="323"/>
      <c r="D44" s="324"/>
      <c r="E44" s="325"/>
      <c r="F44" s="325"/>
      <c r="G44" s="326"/>
      <c r="H44" s="327"/>
      <c r="I44" s="45"/>
      <c r="J44" s="326"/>
      <c r="K44" s="309"/>
      <c r="L44" s="207"/>
      <c r="M44" s="207"/>
      <c r="N44" s="309">
        <v>68.9</v>
      </c>
      <c r="O44" s="207">
        <v>2.1</v>
      </c>
      <c r="P44" s="326"/>
      <c r="Q44" s="326"/>
      <c r="R44" s="328"/>
    </row>
    <row r="45" spans="1:18" ht="38.25">
      <c r="A45" s="331" t="s">
        <v>248</v>
      </c>
      <c r="B45" s="322"/>
      <c r="C45" s="323"/>
      <c r="D45" s="324"/>
      <c r="E45" s="325"/>
      <c r="F45" s="325"/>
      <c r="G45" s="326"/>
      <c r="H45" s="327"/>
      <c r="I45" s="45"/>
      <c r="J45" s="326"/>
      <c r="K45" s="309"/>
      <c r="L45" s="207"/>
      <c r="M45" s="207"/>
      <c r="N45" s="309">
        <v>5264.7</v>
      </c>
      <c r="O45" s="207">
        <v>162.8</v>
      </c>
      <c r="P45" s="326"/>
      <c r="Q45" s="326"/>
      <c r="R45" s="328"/>
    </row>
    <row r="46" spans="1:18" ht="25.5">
      <c r="A46" s="331" t="s">
        <v>249</v>
      </c>
      <c r="B46" s="322"/>
      <c r="C46" s="323"/>
      <c r="D46" s="324"/>
      <c r="E46" s="325"/>
      <c r="F46" s="325"/>
      <c r="G46" s="326"/>
      <c r="H46" s="327"/>
      <c r="I46" s="45"/>
      <c r="J46" s="326"/>
      <c r="K46" s="309"/>
      <c r="L46" s="207"/>
      <c r="M46" s="207"/>
      <c r="N46" s="309">
        <v>15999.9</v>
      </c>
      <c r="O46" s="207">
        <v>875.8</v>
      </c>
      <c r="P46" s="326"/>
      <c r="Q46" s="326"/>
      <c r="R46" s="328"/>
    </row>
    <row r="47" spans="1:17" ht="12.75">
      <c r="A47" s="482" t="s">
        <v>191</v>
      </c>
      <c r="B47" s="303"/>
      <c r="C47" s="301"/>
      <c r="D47" s="319"/>
      <c r="E47" s="304"/>
      <c r="F47" s="304"/>
      <c r="G47" s="320">
        <f aca="true" t="shared" si="8" ref="G47:G54">H47+I47</f>
        <v>105070.90000000002</v>
      </c>
      <c r="H47" s="315">
        <f>H48+H49+H51+H52+H53+H54</f>
        <v>104020.30000000002</v>
      </c>
      <c r="I47" s="45">
        <f>I48+I49+I51+I52+I53+I54</f>
        <v>1050.6</v>
      </c>
      <c r="J47" s="320">
        <f>K47+L47</f>
        <v>30994.4</v>
      </c>
      <c r="K47" s="315">
        <f>K48+K49+K51+K52+K53+K54</f>
        <v>30684.4</v>
      </c>
      <c r="L47" s="314">
        <f>L48+L49+L51+L52+L53+L54</f>
        <v>310.00000000000006</v>
      </c>
      <c r="M47" s="314">
        <f>N47+O47</f>
        <v>30994.4</v>
      </c>
      <c r="N47" s="315">
        <f>N48+N49+N51+N52+N53+N54</f>
        <v>30684.4</v>
      </c>
      <c r="O47" s="314">
        <f>O48+O49+O51+O52+O53+O54</f>
        <v>310.00000000000006</v>
      </c>
      <c r="P47" s="320"/>
      <c r="Q47" s="320"/>
    </row>
    <row r="48" spans="1:17" ht="12.75">
      <c r="A48" s="333" t="s">
        <v>302</v>
      </c>
      <c r="B48" s="303"/>
      <c r="C48" s="301"/>
      <c r="D48" s="319"/>
      <c r="E48" s="304"/>
      <c r="F48" s="304"/>
      <c r="G48" s="320">
        <f t="shared" si="8"/>
        <v>18253.9</v>
      </c>
      <c r="H48" s="321">
        <f>1940+16131.4</f>
        <v>18071.4</v>
      </c>
      <c r="I48" s="45">
        <v>182.5</v>
      </c>
      <c r="J48" s="320"/>
      <c r="K48" s="321">
        <v>0</v>
      </c>
      <c r="L48" s="320">
        <v>0</v>
      </c>
      <c r="M48" s="320"/>
      <c r="N48" s="321">
        <v>0</v>
      </c>
      <c r="O48" s="320">
        <v>0</v>
      </c>
      <c r="P48" s="320"/>
      <c r="Q48" s="320"/>
    </row>
    <row r="49" spans="1:17" ht="25.5">
      <c r="A49" s="333" t="s">
        <v>194</v>
      </c>
      <c r="B49" s="303"/>
      <c r="C49" s="301"/>
      <c r="D49" s="319"/>
      <c r="E49" s="304"/>
      <c r="F49" s="304"/>
      <c r="G49" s="320">
        <f t="shared" si="8"/>
        <v>20823.600000000002</v>
      </c>
      <c r="H49" s="321">
        <f>1940+18675.4</f>
        <v>20615.4</v>
      </c>
      <c r="I49" s="45">
        <v>208.2</v>
      </c>
      <c r="J49" s="320"/>
      <c r="K49" s="321">
        <v>20569.7</v>
      </c>
      <c r="L49" s="320">
        <v>207.8</v>
      </c>
      <c r="M49" s="320"/>
      <c r="N49" s="321">
        <v>20569.7</v>
      </c>
      <c r="O49" s="320">
        <v>207.8</v>
      </c>
      <c r="P49" s="320"/>
      <c r="Q49" s="320"/>
    </row>
    <row r="50" spans="1:17" ht="12.75">
      <c r="A50" s="248" t="s">
        <v>241</v>
      </c>
      <c r="B50" s="303"/>
      <c r="C50" s="301"/>
      <c r="D50" s="319"/>
      <c r="E50" s="304"/>
      <c r="F50" s="304"/>
      <c r="G50" s="320"/>
      <c r="H50" s="321"/>
      <c r="I50" s="45"/>
      <c r="J50" s="320"/>
      <c r="K50" s="321"/>
      <c r="L50" s="320"/>
      <c r="M50" s="320"/>
      <c r="N50" s="309">
        <v>547.6</v>
      </c>
      <c r="O50" s="207">
        <v>16.9</v>
      </c>
      <c r="P50" s="320"/>
      <c r="Q50" s="320"/>
    </row>
    <row r="51" spans="1:17" ht="25.5">
      <c r="A51" s="333" t="s">
        <v>301</v>
      </c>
      <c r="B51" s="303"/>
      <c r="C51" s="312"/>
      <c r="D51" s="319"/>
      <c r="E51" s="304"/>
      <c r="F51" s="304"/>
      <c r="G51" s="320">
        <f t="shared" si="8"/>
        <v>27638.4</v>
      </c>
      <c r="H51" s="321">
        <f>1940+25422</f>
        <v>27362</v>
      </c>
      <c r="I51" s="45">
        <v>276.4</v>
      </c>
      <c r="J51" s="320"/>
      <c r="K51" s="321">
        <v>0</v>
      </c>
      <c r="L51" s="320">
        <v>0</v>
      </c>
      <c r="M51" s="320"/>
      <c r="N51" s="321">
        <v>0</v>
      </c>
      <c r="O51" s="320">
        <v>0</v>
      </c>
      <c r="P51" s="320"/>
      <c r="Q51" s="320"/>
    </row>
    <row r="52" spans="1:17" ht="38.25">
      <c r="A52" s="334" t="s">
        <v>156</v>
      </c>
      <c r="B52" s="303"/>
      <c r="C52" s="301"/>
      <c r="D52" s="319"/>
      <c r="E52" s="304"/>
      <c r="F52" s="304"/>
      <c r="G52" s="320">
        <f t="shared" si="8"/>
        <v>9691.5</v>
      </c>
      <c r="H52" s="321">
        <v>9594.6</v>
      </c>
      <c r="I52" s="45">
        <v>96.9</v>
      </c>
      <c r="J52" s="320"/>
      <c r="K52" s="321">
        <v>9594.5</v>
      </c>
      <c r="L52" s="320">
        <v>96.9</v>
      </c>
      <c r="M52" s="320"/>
      <c r="N52" s="321">
        <v>9594.5</v>
      </c>
      <c r="O52" s="320">
        <v>96.9</v>
      </c>
      <c r="P52" s="320"/>
      <c r="Q52" s="320"/>
    </row>
    <row r="53" spans="1:17" ht="25.5">
      <c r="A53" s="334" t="s">
        <v>165</v>
      </c>
      <c r="B53" s="303"/>
      <c r="C53" s="301"/>
      <c r="D53" s="319"/>
      <c r="E53" s="304"/>
      <c r="F53" s="304"/>
      <c r="G53" s="320">
        <f t="shared" si="8"/>
        <v>17203.4</v>
      </c>
      <c r="H53" s="321">
        <v>17031.4</v>
      </c>
      <c r="I53" s="45">
        <v>172</v>
      </c>
      <c r="J53" s="320"/>
      <c r="K53" s="321">
        <v>520.2</v>
      </c>
      <c r="L53" s="320">
        <v>5.3</v>
      </c>
      <c r="M53" s="320"/>
      <c r="N53" s="321">
        <v>520.2</v>
      </c>
      <c r="O53" s="320">
        <v>5.3</v>
      </c>
      <c r="P53" s="320"/>
      <c r="Q53" s="320"/>
    </row>
    <row r="54" spans="1:17" ht="27" customHeight="1">
      <c r="A54" s="334" t="s">
        <v>166</v>
      </c>
      <c r="B54" s="303"/>
      <c r="C54" s="301"/>
      <c r="D54" s="319"/>
      <c r="E54" s="304"/>
      <c r="F54" s="304"/>
      <c r="G54" s="320">
        <f t="shared" si="8"/>
        <v>11460.1</v>
      </c>
      <c r="H54" s="321">
        <v>11345.5</v>
      </c>
      <c r="I54" s="45">
        <v>114.6</v>
      </c>
      <c r="J54" s="320"/>
      <c r="K54" s="321">
        <v>0</v>
      </c>
      <c r="L54" s="320">
        <v>0</v>
      </c>
      <c r="M54" s="320"/>
      <c r="N54" s="321">
        <v>0</v>
      </c>
      <c r="O54" s="320">
        <v>0</v>
      </c>
      <c r="P54" s="320"/>
      <c r="Q54" s="320"/>
    </row>
    <row r="55" spans="1:18" s="89" customFormat="1" ht="12.75">
      <c r="A55" s="257" t="s">
        <v>250</v>
      </c>
      <c r="B55" s="306"/>
      <c r="C55" s="307"/>
      <c r="D55" s="329"/>
      <c r="E55" s="308"/>
      <c r="F55" s="308"/>
      <c r="G55" s="207"/>
      <c r="H55" s="309"/>
      <c r="I55" s="45"/>
      <c r="J55" s="207"/>
      <c r="K55" s="309"/>
      <c r="L55" s="207"/>
      <c r="M55" s="207"/>
      <c r="N55" s="309"/>
      <c r="O55" s="207"/>
      <c r="P55" s="207"/>
      <c r="Q55" s="207"/>
      <c r="R55" s="310"/>
    </row>
    <row r="56" spans="1:18" s="89" customFormat="1" ht="12.75">
      <c r="A56" s="335" t="s">
        <v>304</v>
      </c>
      <c r="B56" s="306"/>
      <c r="C56" s="307"/>
      <c r="D56" s="329"/>
      <c r="E56" s="308"/>
      <c r="F56" s="308"/>
      <c r="G56" s="207"/>
      <c r="H56" s="309"/>
      <c r="I56" s="45"/>
      <c r="J56" s="207"/>
      <c r="K56" s="309"/>
      <c r="L56" s="207"/>
      <c r="M56" s="207"/>
      <c r="N56" s="309">
        <v>25.9</v>
      </c>
      <c r="O56" s="207">
        <v>0.8</v>
      </c>
      <c r="P56" s="207"/>
      <c r="Q56" s="207"/>
      <c r="R56" s="310"/>
    </row>
    <row r="57" spans="1:18" s="89" customFormat="1" ht="12.75">
      <c r="A57" s="335" t="s">
        <v>300</v>
      </c>
      <c r="B57" s="306"/>
      <c r="C57" s="307"/>
      <c r="D57" s="329"/>
      <c r="E57" s="308"/>
      <c r="F57" s="308"/>
      <c r="G57" s="207"/>
      <c r="H57" s="309"/>
      <c r="I57" s="45"/>
      <c r="J57" s="207"/>
      <c r="K57" s="309"/>
      <c r="L57" s="207"/>
      <c r="M57" s="207"/>
      <c r="N57" s="309">
        <v>105.1</v>
      </c>
      <c r="O57" s="207">
        <v>3.3</v>
      </c>
      <c r="P57" s="207"/>
      <c r="Q57" s="207"/>
      <c r="R57" s="310"/>
    </row>
    <row r="58" spans="1:18" s="89" customFormat="1" ht="25.5">
      <c r="A58" s="335" t="s">
        <v>305</v>
      </c>
      <c r="B58" s="306"/>
      <c r="C58" s="307"/>
      <c r="D58" s="329"/>
      <c r="E58" s="308"/>
      <c r="F58" s="308"/>
      <c r="G58" s="207"/>
      <c r="H58" s="309"/>
      <c r="I58" s="45"/>
      <c r="J58" s="207"/>
      <c r="K58" s="309"/>
      <c r="L58" s="207"/>
      <c r="M58" s="207"/>
      <c r="N58" s="309">
        <v>873</v>
      </c>
      <c r="O58" s="207">
        <v>27</v>
      </c>
      <c r="P58" s="207"/>
      <c r="Q58" s="207"/>
      <c r="R58" s="310"/>
    </row>
  </sheetData>
  <mergeCells count="13">
    <mergeCell ref="A5:A7"/>
    <mergeCell ref="B5:B7"/>
    <mergeCell ref="C5:C7"/>
    <mergeCell ref="M5:O5"/>
    <mergeCell ref="D5:D7"/>
    <mergeCell ref="G6:G7"/>
    <mergeCell ref="J6:J7"/>
    <mergeCell ref="E5:E7"/>
    <mergeCell ref="F5:F7"/>
    <mergeCell ref="Q5:Q7"/>
    <mergeCell ref="P5:P7"/>
    <mergeCell ref="M6:M7"/>
    <mergeCell ref="N6:O6"/>
  </mergeCells>
  <printOptions gridLines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pane ySplit="10" topLeftCell="BM11" activePane="bottomLeft" state="frozen"/>
      <selection pane="topLeft" activeCell="AB23" sqref="AB23"/>
      <selection pane="bottomLeft" activeCell="AB23" sqref="AB23"/>
    </sheetView>
  </sheetViews>
  <sheetFormatPr defaultColWidth="9.00390625" defaultRowHeight="12.75"/>
  <cols>
    <col min="1" max="1" width="54.375" style="3" customWidth="1"/>
    <col min="2" max="2" width="9.875" style="3" customWidth="1"/>
    <col min="3" max="3" width="3.125" style="5" customWidth="1"/>
    <col min="4" max="4" width="3.25390625" style="3" customWidth="1"/>
    <col min="5" max="5" width="3.25390625" style="5" customWidth="1"/>
    <col min="6" max="6" width="3.375" style="5" customWidth="1"/>
    <col min="7" max="8" width="8.75390625" style="3" customWidth="1"/>
    <col min="9" max="9" width="8.625" style="3" customWidth="1"/>
    <col min="10" max="10" width="9.00390625" style="3" customWidth="1"/>
    <col min="11" max="11" width="8.625" style="3" customWidth="1"/>
    <col min="12" max="12" width="6.625" style="3" customWidth="1"/>
    <col min="13" max="13" width="9.625" style="3" customWidth="1"/>
    <col min="14" max="14" width="11.25390625" style="3" bestFit="1" customWidth="1"/>
    <col min="15" max="15" width="6.875" style="3" customWidth="1"/>
    <col min="16" max="16" width="5.25390625" style="3" customWidth="1"/>
    <col min="17" max="17" width="5.625" style="3" customWidth="1"/>
    <col min="18" max="18" width="9.125" style="3" customWidth="1"/>
    <col min="19" max="19" width="9.375" style="3" bestFit="1" customWidth="1"/>
    <col min="20" max="16384" width="9.125" style="3" customWidth="1"/>
  </cols>
  <sheetData>
    <row r="1" ht="12.75">
      <c r="H1" s="284" t="s">
        <v>31</v>
      </c>
    </row>
    <row r="2" ht="12.75">
      <c r="H2" s="284" t="s">
        <v>38</v>
      </c>
    </row>
    <row r="3" ht="12.75">
      <c r="H3" s="284" t="s">
        <v>158</v>
      </c>
    </row>
    <row r="4" ht="12.75">
      <c r="O4" s="285" t="s">
        <v>32</v>
      </c>
    </row>
    <row r="5" spans="1:17" s="290" customFormat="1" ht="12.75">
      <c r="A5" s="549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286"/>
      <c r="H5" s="287" t="s">
        <v>24</v>
      </c>
      <c r="I5" s="289"/>
      <c r="J5" s="286"/>
      <c r="K5" s="288" t="s">
        <v>25</v>
      </c>
      <c r="L5" s="289"/>
      <c r="M5" s="530" t="s">
        <v>26</v>
      </c>
      <c r="N5" s="531"/>
      <c r="O5" s="548"/>
      <c r="P5" s="527" t="s">
        <v>66</v>
      </c>
      <c r="Q5" s="527" t="s">
        <v>19</v>
      </c>
    </row>
    <row r="6" spans="1:17" s="290" customFormat="1" ht="12.75">
      <c r="A6" s="550"/>
      <c r="B6" s="537"/>
      <c r="C6" s="537"/>
      <c r="D6" s="537"/>
      <c r="E6" s="537"/>
      <c r="F6" s="537"/>
      <c r="G6" s="341"/>
      <c r="H6" s="286" t="s">
        <v>27</v>
      </c>
      <c r="I6" s="289"/>
      <c r="J6" s="341"/>
      <c r="K6" s="286" t="s">
        <v>27</v>
      </c>
      <c r="L6" s="289"/>
      <c r="M6" s="341"/>
      <c r="N6" s="286" t="s">
        <v>27</v>
      </c>
      <c r="O6" s="289"/>
      <c r="P6" s="528"/>
      <c r="Q6" s="528"/>
    </row>
    <row r="7" spans="1:17" s="290" customFormat="1" ht="38.25">
      <c r="A7" s="551"/>
      <c r="B7" s="538"/>
      <c r="C7" s="538"/>
      <c r="D7" s="538"/>
      <c r="E7" s="538"/>
      <c r="F7" s="538"/>
      <c r="G7" s="41" t="s">
        <v>28</v>
      </c>
      <c r="H7" s="33" t="s">
        <v>29</v>
      </c>
      <c r="I7" s="291" t="s">
        <v>30</v>
      </c>
      <c r="J7" s="41" t="s">
        <v>28</v>
      </c>
      <c r="K7" s="33" t="s">
        <v>29</v>
      </c>
      <c r="L7" s="291" t="s">
        <v>30</v>
      </c>
      <c r="M7" s="41" t="s">
        <v>28</v>
      </c>
      <c r="N7" s="33" t="s">
        <v>29</v>
      </c>
      <c r="O7" s="291" t="s">
        <v>30</v>
      </c>
      <c r="P7" s="529"/>
      <c r="Q7" s="529"/>
    </row>
    <row r="8" spans="1:17" s="4" customFormat="1" ht="12.75">
      <c r="A8" s="204" t="s">
        <v>34</v>
      </c>
      <c r="B8" s="42" t="s">
        <v>357</v>
      </c>
      <c r="C8" s="342"/>
      <c r="D8" s="43"/>
      <c r="E8" s="342"/>
      <c r="F8" s="342"/>
      <c r="G8" s="43">
        <f aca="true" t="shared" si="0" ref="G8:O8">G11</f>
        <v>342587.1</v>
      </c>
      <c r="H8" s="292">
        <f t="shared" si="0"/>
        <v>332309.3</v>
      </c>
      <c r="I8" s="43">
        <f t="shared" si="0"/>
        <v>10277.8</v>
      </c>
      <c r="J8" s="43">
        <f t="shared" si="0"/>
        <v>249111.79999999996</v>
      </c>
      <c r="K8" s="292">
        <f t="shared" si="0"/>
        <v>241638.29999999996</v>
      </c>
      <c r="L8" s="43">
        <f t="shared" si="0"/>
        <v>7473.499999999998</v>
      </c>
      <c r="M8" s="43">
        <f>M11</f>
        <v>333206.39999999997</v>
      </c>
      <c r="N8" s="292">
        <f t="shared" si="0"/>
        <v>323560.39999999997</v>
      </c>
      <c r="O8" s="43">
        <f t="shared" si="0"/>
        <v>9646</v>
      </c>
      <c r="P8" s="43">
        <f>K8/H8*100</f>
        <v>72.71487737478306</v>
      </c>
      <c r="Q8" s="43">
        <f>N8/K8*100</f>
        <v>133.9027794848747</v>
      </c>
    </row>
    <row r="9" spans="1:17" s="347" customFormat="1" ht="12.75">
      <c r="A9" s="253" t="s">
        <v>196</v>
      </c>
      <c r="B9" s="343"/>
      <c r="C9" s="344"/>
      <c r="D9" s="345"/>
      <c r="E9" s="344"/>
      <c r="F9" s="344"/>
      <c r="G9" s="345"/>
      <c r="H9" s="346"/>
      <c r="I9" s="423"/>
      <c r="J9" s="345"/>
      <c r="K9" s="346"/>
      <c r="L9" s="423"/>
      <c r="M9" s="345">
        <f>N9+O9</f>
        <v>672.2</v>
      </c>
      <c r="N9" s="346">
        <f>N16</f>
        <v>652</v>
      </c>
      <c r="O9" s="345">
        <f>O16</f>
        <v>20.2</v>
      </c>
      <c r="P9" s="345"/>
      <c r="Q9" s="345"/>
    </row>
    <row r="10" spans="1:17" s="352" customFormat="1" ht="12.75">
      <c r="A10" s="254" t="s">
        <v>195</v>
      </c>
      <c r="B10" s="348"/>
      <c r="C10" s="349"/>
      <c r="D10" s="350"/>
      <c r="E10" s="349"/>
      <c r="F10" s="349"/>
      <c r="G10" s="350"/>
      <c r="H10" s="351"/>
      <c r="I10" s="423"/>
      <c r="J10" s="350"/>
      <c r="K10" s="351"/>
      <c r="L10" s="423"/>
      <c r="M10" s="350">
        <f>N10+O10</f>
        <v>83422.40000000001</v>
      </c>
      <c r="N10" s="351">
        <f>N17+N34</f>
        <v>81270.1</v>
      </c>
      <c r="O10" s="350">
        <f>O17+O34</f>
        <v>2152.3</v>
      </c>
      <c r="P10" s="350"/>
      <c r="Q10" s="350"/>
    </row>
    <row r="11" spans="1:17" ht="25.5">
      <c r="A11" s="204" t="s">
        <v>324</v>
      </c>
      <c r="B11" s="42" t="s">
        <v>357</v>
      </c>
      <c r="C11" s="353" t="s">
        <v>325</v>
      </c>
      <c r="D11" s="353"/>
      <c r="E11" s="354"/>
      <c r="F11" s="354"/>
      <c r="G11" s="43">
        <f aca="true" t="shared" si="1" ref="G11:I13">G12</f>
        <v>342587.1</v>
      </c>
      <c r="H11" s="292">
        <f>H12</f>
        <v>332309.3</v>
      </c>
      <c r="I11" s="43">
        <f t="shared" si="1"/>
        <v>10277.8</v>
      </c>
      <c r="J11" s="43">
        <f aca="true" t="shared" si="2" ref="J11:L13">J12</f>
        <v>249111.79999999996</v>
      </c>
      <c r="K11" s="292">
        <f t="shared" si="2"/>
        <v>241638.29999999996</v>
      </c>
      <c r="L11" s="43">
        <f t="shared" si="2"/>
        <v>7473.499999999998</v>
      </c>
      <c r="M11" s="43">
        <f aca="true" t="shared" si="3" ref="M11:O13">M12</f>
        <v>333206.39999999997</v>
      </c>
      <c r="N11" s="292">
        <f t="shared" si="3"/>
        <v>323560.39999999997</v>
      </c>
      <c r="O11" s="43">
        <f t="shared" si="3"/>
        <v>9646</v>
      </c>
      <c r="P11" s="43">
        <f>K11/H11*100</f>
        <v>72.71487737478306</v>
      </c>
      <c r="Q11" s="43">
        <f>N11/K11*100</f>
        <v>133.9027794848747</v>
      </c>
    </row>
    <row r="12" spans="1:17" ht="12.75">
      <c r="A12" s="45" t="s">
        <v>361</v>
      </c>
      <c r="B12" s="303" t="s">
        <v>357</v>
      </c>
      <c r="C12" s="301" t="s">
        <v>325</v>
      </c>
      <c r="D12" s="304" t="s">
        <v>360</v>
      </c>
      <c r="E12" s="304"/>
      <c r="F12" s="304"/>
      <c r="G12" s="45">
        <f t="shared" si="1"/>
        <v>342587.1</v>
      </c>
      <c r="H12" s="302">
        <f>H13</f>
        <v>332309.3</v>
      </c>
      <c r="I12" s="45">
        <f t="shared" si="1"/>
        <v>10277.8</v>
      </c>
      <c r="J12" s="45">
        <f t="shared" si="2"/>
        <v>249111.79999999996</v>
      </c>
      <c r="K12" s="302">
        <f t="shared" si="2"/>
        <v>241638.29999999996</v>
      </c>
      <c r="L12" s="45">
        <f t="shared" si="2"/>
        <v>7473.499999999998</v>
      </c>
      <c r="M12" s="45">
        <f t="shared" si="3"/>
        <v>333206.39999999997</v>
      </c>
      <c r="N12" s="302">
        <f t="shared" si="3"/>
        <v>323560.39999999997</v>
      </c>
      <c r="O12" s="45">
        <f t="shared" si="3"/>
        <v>9646</v>
      </c>
      <c r="P12" s="45"/>
      <c r="Q12" s="45"/>
    </row>
    <row r="13" spans="1:17" ht="12.75">
      <c r="A13" s="45" t="s">
        <v>362</v>
      </c>
      <c r="B13" s="303" t="s">
        <v>357</v>
      </c>
      <c r="C13" s="301" t="s">
        <v>325</v>
      </c>
      <c r="D13" s="304" t="s">
        <v>360</v>
      </c>
      <c r="E13" s="304" t="s">
        <v>353</v>
      </c>
      <c r="F13" s="304"/>
      <c r="G13" s="45">
        <f t="shared" si="1"/>
        <v>342587.1</v>
      </c>
      <c r="H13" s="302">
        <f>H14</f>
        <v>332309.3</v>
      </c>
      <c r="I13" s="45">
        <f t="shared" si="1"/>
        <v>10277.8</v>
      </c>
      <c r="J13" s="45">
        <f t="shared" si="2"/>
        <v>249111.79999999996</v>
      </c>
      <c r="K13" s="302">
        <f t="shared" si="2"/>
        <v>241638.29999999996</v>
      </c>
      <c r="L13" s="45">
        <f t="shared" si="2"/>
        <v>7473.499999999998</v>
      </c>
      <c r="M13" s="45">
        <f t="shared" si="3"/>
        <v>333206.39999999997</v>
      </c>
      <c r="N13" s="302">
        <f t="shared" si="3"/>
        <v>323560.39999999997</v>
      </c>
      <c r="O13" s="45">
        <f t="shared" si="3"/>
        <v>9646</v>
      </c>
      <c r="P13" s="45"/>
      <c r="Q13" s="45"/>
    </row>
    <row r="14" spans="1:17" ht="12.75">
      <c r="A14" s="52" t="s">
        <v>334</v>
      </c>
      <c r="B14" s="303" t="s">
        <v>357</v>
      </c>
      <c r="C14" s="301" t="s">
        <v>325</v>
      </c>
      <c r="D14" s="304" t="s">
        <v>360</v>
      </c>
      <c r="E14" s="304" t="s">
        <v>353</v>
      </c>
      <c r="F14" s="304" t="s">
        <v>335</v>
      </c>
      <c r="G14" s="45">
        <f aca="true" t="shared" si="4" ref="G14:L14">SUM(G15+G33)</f>
        <v>342587.1</v>
      </c>
      <c r="H14" s="302">
        <f t="shared" si="4"/>
        <v>332309.3</v>
      </c>
      <c r="I14" s="45">
        <f t="shared" si="4"/>
        <v>10277.8</v>
      </c>
      <c r="J14" s="45">
        <f t="shared" si="4"/>
        <v>249111.79999999996</v>
      </c>
      <c r="K14" s="302">
        <f t="shared" si="4"/>
        <v>241638.29999999996</v>
      </c>
      <c r="L14" s="45">
        <f t="shared" si="4"/>
        <v>7473.499999999998</v>
      </c>
      <c r="M14" s="45">
        <f>M15+M33</f>
        <v>333206.39999999997</v>
      </c>
      <c r="N14" s="302">
        <f>N15+N33</f>
        <v>323560.39999999997</v>
      </c>
      <c r="O14" s="45">
        <f>O15+O33</f>
        <v>9646</v>
      </c>
      <c r="P14" s="45"/>
      <c r="Q14" s="45"/>
    </row>
    <row r="15" spans="1:17" s="316" customFormat="1" ht="12.75">
      <c r="A15" s="355" t="s">
        <v>189</v>
      </c>
      <c r="B15" s="356" t="s">
        <v>357</v>
      </c>
      <c r="C15" s="357" t="s">
        <v>325</v>
      </c>
      <c r="D15" s="358" t="s">
        <v>360</v>
      </c>
      <c r="E15" s="358" t="s">
        <v>353</v>
      </c>
      <c r="F15" s="358" t="s">
        <v>335</v>
      </c>
      <c r="G15" s="359">
        <f>SUM(H15+I15)</f>
        <v>243987.39999999997</v>
      </c>
      <c r="H15" s="360">
        <f>SUM(H18:H31)</f>
        <v>236667.59999999998</v>
      </c>
      <c r="I15" s="359">
        <f>SUM(I18:I31)</f>
        <v>7319.8</v>
      </c>
      <c r="J15" s="359">
        <f>SUM(K15+L15)</f>
        <v>172992.19999999995</v>
      </c>
      <c r="K15" s="360">
        <f>SUM(K18:K31)</f>
        <v>167802.29999999996</v>
      </c>
      <c r="L15" s="359">
        <f>SUM(L18:L31)</f>
        <v>5189.899999999999</v>
      </c>
      <c r="M15" s="359">
        <f>SUM(N15+O15)</f>
        <v>218885.99999999997</v>
      </c>
      <c r="N15" s="360">
        <f>SUM(N18:N31)</f>
        <v>212669.59999999998</v>
      </c>
      <c r="O15" s="359">
        <f>SUM(O18:O31)</f>
        <v>6216.4</v>
      </c>
      <c r="P15" s="359">
        <f>K15/H15*100</f>
        <v>70.902100667772</v>
      </c>
      <c r="Q15" s="45">
        <f>N15/K15*100</f>
        <v>126.73819131203805</v>
      </c>
    </row>
    <row r="16" spans="1:17" s="364" customFormat="1" ht="12.75">
      <c r="A16" s="253" t="s">
        <v>196</v>
      </c>
      <c r="B16" s="343"/>
      <c r="C16" s="361"/>
      <c r="D16" s="362"/>
      <c r="E16" s="362"/>
      <c r="F16" s="362"/>
      <c r="G16" s="345"/>
      <c r="H16" s="346"/>
      <c r="I16" s="424"/>
      <c r="J16" s="345"/>
      <c r="K16" s="346"/>
      <c r="L16" s="424"/>
      <c r="M16" s="345">
        <f>N16+O16</f>
        <v>672.2</v>
      </c>
      <c r="N16" s="346">
        <f>N30</f>
        <v>652</v>
      </c>
      <c r="O16" s="345">
        <f>O30</f>
        <v>20.2</v>
      </c>
      <c r="P16" s="345"/>
      <c r="Q16" s="363"/>
    </row>
    <row r="17" spans="1:17" s="368" customFormat="1" ht="12.75">
      <c r="A17" s="254" t="s">
        <v>195</v>
      </c>
      <c r="B17" s="348"/>
      <c r="C17" s="365"/>
      <c r="D17" s="366"/>
      <c r="E17" s="366"/>
      <c r="F17" s="366"/>
      <c r="G17" s="350"/>
      <c r="H17" s="351"/>
      <c r="I17" s="424"/>
      <c r="J17" s="350"/>
      <c r="K17" s="351"/>
      <c r="L17" s="424"/>
      <c r="M17" s="350">
        <f>N17+O17</f>
        <v>45221.600000000006</v>
      </c>
      <c r="N17" s="351">
        <f>N19+N21+N23</f>
        <v>44215.3</v>
      </c>
      <c r="O17" s="350">
        <f>O19+O21+O23</f>
        <v>1006.3</v>
      </c>
      <c r="P17" s="350"/>
      <c r="Q17" s="367"/>
    </row>
    <row r="18" spans="1:17" s="310" customFormat="1" ht="25.5">
      <c r="A18" s="336" t="s">
        <v>251</v>
      </c>
      <c r="B18" s="306"/>
      <c r="C18" s="307"/>
      <c r="D18" s="308"/>
      <c r="E18" s="308"/>
      <c r="F18" s="308"/>
      <c r="G18" s="45">
        <f>H18+I18</f>
        <v>57748.7</v>
      </c>
      <c r="H18" s="276">
        <v>56016.2</v>
      </c>
      <c r="I18" s="273">
        <v>1732.5</v>
      </c>
      <c r="J18" s="45">
        <f>K18+L18</f>
        <v>57428.5</v>
      </c>
      <c r="K18" s="276">
        <v>55705.6</v>
      </c>
      <c r="L18" s="273">
        <v>1722.9</v>
      </c>
      <c r="M18" s="45">
        <f>N18+O18</f>
        <v>57428.5</v>
      </c>
      <c r="N18" s="276">
        <v>55705.6</v>
      </c>
      <c r="O18" s="273">
        <v>1722.9</v>
      </c>
      <c r="P18" s="207"/>
      <c r="Q18" s="207"/>
    </row>
    <row r="19" spans="1:17" s="310" customFormat="1" ht="12.75">
      <c r="A19" s="248" t="s">
        <v>209</v>
      </c>
      <c r="B19" s="306"/>
      <c r="C19" s="307"/>
      <c r="D19" s="308"/>
      <c r="E19" s="308"/>
      <c r="F19" s="308"/>
      <c r="G19" s="207"/>
      <c r="H19" s="277"/>
      <c r="I19" s="273"/>
      <c r="J19" s="45"/>
      <c r="K19" s="276"/>
      <c r="L19" s="273"/>
      <c r="M19" s="45"/>
      <c r="N19" s="277">
        <v>27552.4</v>
      </c>
      <c r="O19" s="275">
        <v>652</v>
      </c>
      <c r="P19" s="207"/>
      <c r="Q19" s="207"/>
    </row>
    <row r="20" spans="1:17" s="316" customFormat="1" ht="17.25" customHeight="1">
      <c r="A20" s="256" t="s">
        <v>252</v>
      </c>
      <c r="B20" s="311"/>
      <c r="C20" s="312"/>
      <c r="D20" s="313"/>
      <c r="E20" s="313"/>
      <c r="F20" s="313"/>
      <c r="G20" s="314">
        <f>H20+I20</f>
        <v>72670.5</v>
      </c>
      <c r="H20" s="278">
        <v>70490.2</v>
      </c>
      <c r="I20" s="273">
        <v>2180.3</v>
      </c>
      <c r="J20" s="45">
        <f aca="true" t="shared" si="5" ref="J20:J29">K20+L20</f>
        <v>72670.5</v>
      </c>
      <c r="K20" s="278">
        <f>H20</f>
        <v>70490.2</v>
      </c>
      <c r="L20" s="273">
        <v>2180.3</v>
      </c>
      <c r="M20" s="45">
        <f aca="true" t="shared" si="6" ref="M20:M30">N20+O20</f>
        <v>72670.5</v>
      </c>
      <c r="N20" s="278">
        <f>K20</f>
        <v>70490.2</v>
      </c>
      <c r="O20" s="279">
        <v>2180.3</v>
      </c>
      <c r="P20" s="314"/>
      <c r="Q20" s="314"/>
    </row>
    <row r="21" spans="1:17" s="310" customFormat="1" ht="12.75">
      <c r="A21" s="248" t="s">
        <v>209</v>
      </c>
      <c r="B21" s="306"/>
      <c r="C21" s="307"/>
      <c r="D21" s="308"/>
      <c r="E21" s="308"/>
      <c r="F21" s="308"/>
      <c r="G21" s="207"/>
      <c r="H21" s="277"/>
      <c r="I21" s="273"/>
      <c r="J21" s="45"/>
      <c r="K21" s="277"/>
      <c r="L21" s="273"/>
      <c r="M21" s="207">
        <f>N21+O21</f>
        <v>17000.399999999998</v>
      </c>
      <c r="N21" s="277">
        <v>16646.6</v>
      </c>
      <c r="O21" s="275">
        <v>353.8</v>
      </c>
      <c r="P21" s="207"/>
      <c r="Q21" s="207"/>
    </row>
    <row r="22" spans="1:17" s="316" customFormat="1" ht="12.75">
      <c r="A22" s="256" t="s">
        <v>253</v>
      </c>
      <c r="B22" s="311"/>
      <c r="C22" s="312"/>
      <c r="D22" s="313"/>
      <c r="E22" s="313"/>
      <c r="F22" s="313"/>
      <c r="G22" s="314">
        <f>H22+I22</f>
        <v>15178.099999999999</v>
      </c>
      <c r="H22" s="278">
        <v>14722.8</v>
      </c>
      <c r="I22" s="273">
        <v>455.3</v>
      </c>
      <c r="J22" s="45">
        <f t="shared" si="5"/>
        <v>14827.599999999999</v>
      </c>
      <c r="K22" s="278">
        <v>14382.8</v>
      </c>
      <c r="L22" s="273">
        <v>444.8</v>
      </c>
      <c r="M22" s="45">
        <f t="shared" si="6"/>
        <v>14827.599999999999</v>
      </c>
      <c r="N22" s="278">
        <v>14382.8</v>
      </c>
      <c r="O22" s="279">
        <v>444.8</v>
      </c>
      <c r="P22" s="314"/>
      <c r="Q22" s="314"/>
    </row>
    <row r="23" spans="1:17" s="310" customFormat="1" ht="12.75">
      <c r="A23" s="248" t="s">
        <v>209</v>
      </c>
      <c r="B23" s="306"/>
      <c r="C23" s="307"/>
      <c r="D23" s="308"/>
      <c r="E23" s="308"/>
      <c r="F23" s="308"/>
      <c r="G23" s="207"/>
      <c r="H23" s="277"/>
      <c r="I23" s="273"/>
      <c r="J23" s="45"/>
      <c r="K23" s="277"/>
      <c r="L23" s="273"/>
      <c r="M23" s="207">
        <f>N23+O23</f>
        <v>16.8</v>
      </c>
      <c r="N23" s="277">
        <v>16.3</v>
      </c>
      <c r="O23" s="275">
        <v>0.5</v>
      </c>
      <c r="P23" s="207"/>
      <c r="Q23" s="207"/>
    </row>
    <row r="24" spans="1:17" s="316" customFormat="1" ht="25.5">
      <c r="A24" s="242" t="s">
        <v>254</v>
      </c>
      <c r="B24" s="311"/>
      <c r="C24" s="312"/>
      <c r="D24" s="313"/>
      <c r="E24" s="313"/>
      <c r="F24" s="313"/>
      <c r="G24" s="314">
        <f aca="true" t="shared" si="7" ref="G24:G29">H24+I24</f>
        <v>5154.6</v>
      </c>
      <c r="H24" s="278">
        <v>5000</v>
      </c>
      <c r="I24" s="273">
        <v>154.6</v>
      </c>
      <c r="J24" s="45">
        <f t="shared" si="5"/>
        <v>7.7</v>
      </c>
      <c r="K24" s="278">
        <v>7.5</v>
      </c>
      <c r="L24" s="273">
        <v>0.2</v>
      </c>
      <c r="M24" s="45">
        <f t="shared" si="6"/>
        <v>7.7</v>
      </c>
      <c r="N24" s="278">
        <v>7.5</v>
      </c>
      <c r="O24" s="279">
        <v>0.2</v>
      </c>
      <c r="P24" s="314"/>
      <c r="Q24" s="314"/>
    </row>
    <row r="25" spans="1:17" s="316" customFormat="1" ht="25.5">
      <c r="A25" s="242" t="s">
        <v>255</v>
      </c>
      <c r="B25" s="311"/>
      <c r="C25" s="312"/>
      <c r="D25" s="313"/>
      <c r="E25" s="313"/>
      <c r="F25" s="313"/>
      <c r="G25" s="314">
        <f t="shared" si="7"/>
        <v>5905.7</v>
      </c>
      <c r="H25" s="278">
        <v>5728.5</v>
      </c>
      <c r="I25" s="273">
        <v>177.2</v>
      </c>
      <c r="J25" s="45">
        <f t="shared" si="5"/>
        <v>5733.9</v>
      </c>
      <c r="K25" s="278">
        <v>5561.9</v>
      </c>
      <c r="L25" s="273">
        <v>172</v>
      </c>
      <c r="M25" s="45">
        <f t="shared" si="6"/>
        <v>5733.9</v>
      </c>
      <c r="N25" s="278">
        <v>5561.9</v>
      </c>
      <c r="O25" s="279">
        <v>172</v>
      </c>
      <c r="P25" s="314"/>
      <c r="Q25" s="314"/>
    </row>
    <row r="26" spans="1:17" s="316" customFormat="1" ht="25.5">
      <c r="A26" s="242" t="s">
        <v>256</v>
      </c>
      <c r="B26" s="311"/>
      <c r="C26" s="312"/>
      <c r="D26" s="313"/>
      <c r="E26" s="313"/>
      <c r="F26" s="313"/>
      <c r="G26" s="314">
        <f t="shared" si="7"/>
        <v>3652.6</v>
      </c>
      <c r="H26" s="278">
        <v>3543</v>
      </c>
      <c r="I26" s="273">
        <v>109.6</v>
      </c>
      <c r="J26" s="45">
        <f t="shared" si="5"/>
        <v>3645.9</v>
      </c>
      <c r="K26" s="278">
        <v>3536.5</v>
      </c>
      <c r="L26" s="273">
        <v>109.4</v>
      </c>
      <c r="M26" s="45">
        <f t="shared" si="6"/>
        <v>3645.9</v>
      </c>
      <c r="N26" s="278">
        <v>3536.5</v>
      </c>
      <c r="O26" s="279">
        <v>109.4</v>
      </c>
      <c r="P26" s="314"/>
      <c r="Q26" s="314"/>
    </row>
    <row r="27" spans="1:17" s="316" customFormat="1" ht="12.75">
      <c r="A27" s="242" t="s">
        <v>257</v>
      </c>
      <c r="B27" s="311"/>
      <c r="C27" s="312"/>
      <c r="D27" s="313"/>
      <c r="E27" s="313"/>
      <c r="F27" s="313"/>
      <c r="G27" s="314">
        <f t="shared" si="7"/>
        <v>15464.199999999999</v>
      </c>
      <c r="H27" s="278">
        <v>15000.3</v>
      </c>
      <c r="I27" s="273">
        <v>463.9</v>
      </c>
      <c r="J27" s="45">
        <f t="shared" si="5"/>
        <v>15464.199999999999</v>
      </c>
      <c r="K27" s="278">
        <f>H27</f>
        <v>15000.3</v>
      </c>
      <c r="L27" s="273">
        <v>463.9</v>
      </c>
      <c r="M27" s="45">
        <f t="shared" si="6"/>
        <v>15464.199999999999</v>
      </c>
      <c r="N27" s="278">
        <f>K27</f>
        <v>15000.3</v>
      </c>
      <c r="O27" s="279">
        <v>463.9</v>
      </c>
      <c r="P27" s="314"/>
      <c r="Q27" s="314"/>
    </row>
    <row r="28" spans="1:17" s="316" customFormat="1" ht="25.5">
      <c r="A28" s="281" t="s">
        <v>258</v>
      </c>
      <c r="B28" s="311"/>
      <c r="C28" s="312"/>
      <c r="D28" s="313"/>
      <c r="E28" s="313"/>
      <c r="F28" s="313"/>
      <c r="G28" s="314">
        <f t="shared" si="7"/>
        <v>40000</v>
      </c>
      <c r="H28" s="278">
        <v>38800</v>
      </c>
      <c r="I28" s="273">
        <v>1200</v>
      </c>
      <c r="J28" s="45">
        <f t="shared" si="5"/>
        <v>1</v>
      </c>
      <c r="K28" s="278">
        <v>1</v>
      </c>
      <c r="L28" s="273">
        <v>0</v>
      </c>
      <c r="M28" s="45">
        <f t="shared" si="6"/>
        <v>1</v>
      </c>
      <c r="N28" s="278">
        <v>1</v>
      </c>
      <c r="O28" s="279">
        <v>0</v>
      </c>
      <c r="P28" s="314"/>
      <c r="Q28" s="314"/>
    </row>
    <row r="29" spans="1:17" s="316" customFormat="1" ht="25.5">
      <c r="A29" s="281" t="s">
        <v>259</v>
      </c>
      <c r="B29" s="311"/>
      <c r="C29" s="312"/>
      <c r="D29" s="313"/>
      <c r="E29" s="313"/>
      <c r="F29" s="313"/>
      <c r="G29" s="314">
        <f t="shared" si="7"/>
        <v>25000</v>
      </c>
      <c r="H29" s="278">
        <v>24250</v>
      </c>
      <c r="I29" s="273">
        <v>750</v>
      </c>
      <c r="J29" s="45">
        <f t="shared" si="5"/>
        <v>0</v>
      </c>
      <c r="K29" s="278">
        <v>0</v>
      </c>
      <c r="L29" s="273">
        <v>0</v>
      </c>
      <c r="M29" s="45">
        <f t="shared" si="6"/>
        <v>0</v>
      </c>
      <c r="N29" s="278">
        <v>0</v>
      </c>
      <c r="O29" s="279">
        <v>0</v>
      </c>
      <c r="P29" s="314"/>
      <c r="Q29" s="314"/>
    </row>
    <row r="30" spans="1:17" s="373" customFormat="1" ht="38.25">
      <c r="A30" s="380" t="s">
        <v>260</v>
      </c>
      <c r="B30" s="369"/>
      <c r="C30" s="370"/>
      <c r="D30" s="371"/>
      <c r="E30" s="371"/>
      <c r="F30" s="371"/>
      <c r="G30" s="372"/>
      <c r="H30" s="338"/>
      <c r="I30" s="273"/>
      <c r="J30" s="372"/>
      <c r="K30" s="338"/>
      <c r="L30" s="273"/>
      <c r="M30" s="372">
        <f t="shared" si="6"/>
        <v>672.2</v>
      </c>
      <c r="N30" s="338">
        <v>652</v>
      </c>
      <c r="O30" s="337">
        <v>20.2</v>
      </c>
      <c r="P30" s="372"/>
      <c r="Q30" s="372"/>
    </row>
    <row r="31" spans="1:17" s="316" customFormat="1" ht="15">
      <c r="A31" s="444" t="s">
        <v>199</v>
      </c>
      <c r="B31" s="412"/>
      <c r="C31" s="413"/>
      <c r="D31" s="414"/>
      <c r="E31" s="414"/>
      <c r="F31" s="414"/>
      <c r="G31" s="415">
        <f>H31+I31</f>
        <v>3213</v>
      </c>
      <c r="H31" s="416">
        <f>H32</f>
        <v>3116.6</v>
      </c>
      <c r="I31" s="425">
        <f>I32</f>
        <v>96.4</v>
      </c>
      <c r="J31" s="415">
        <f>K31+L31</f>
        <v>3212.9</v>
      </c>
      <c r="K31" s="416">
        <f>K32</f>
        <v>3116.5</v>
      </c>
      <c r="L31" s="425">
        <f>L32</f>
        <v>96.4</v>
      </c>
      <c r="M31" s="415">
        <f aca="true" t="shared" si="8" ref="M31:M42">N31+O31</f>
        <v>3212.9</v>
      </c>
      <c r="N31" s="416">
        <f>N32</f>
        <v>3116.5</v>
      </c>
      <c r="O31" s="415">
        <f>O32</f>
        <v>96.4</v>
      </c>
      <c r="P31" s="415"/>
      <c r="Q31" s="417"/>
    </row>
    <row r="32" spans="1:17" s="316" customFormat="1" ht="12.75">
      <c r="A32" s="379" t="s">
        <v>200</v>
      </c>
      <c r="B32" s="311"/>
      <c r="C32" s="312"/>
      <c r="D32" s="313"/>
      <c r="E32" s="313"/>
      <c r="F32" s="313"/>
      <c r="G32" s="314">
        <f>H32+I32</f>
        <v>3213</v>
      </c>
      <c r="H32" s="315">
        <v>3116.6</v>
      </c>
      <c r="I32" s="45">
        <v>96.4</v>
      </c>
      <c r="J32" s="314">
        <f>K32+L32</f>
        <v>3212.9</v>
      </c>
      <c r="K32" s="315">
        <v>3116.5</v>
      </c>
      <c r="L32" s="45">
        <v>96.4</v>
      </c>
      <c r="M32" s="314">
        <f t="shared" si="8"/>
        <v>3212.9</v>
      </c>
      <c r="N32" s="315">
        <v>3116.5</v>
      </c>
      <c r="O32" s="314">
        <v>96.4</v>
      </c>
      <c r="P32" s="314"/>
      <c r="Q32" s="374"/>
    </row>
    <row r="33" spans="1:17" s="316" customFormat="1" ht="12.75">
      <c r="A33" s="355" t="s">
        <v>190</v>
      </c>
      <c r="B33" s="356" t="s">
        <v>357</v>
      </c>
      <c r="C33" s="357" t="s">
        <v>325</v>
      </c>
      <c r="D33" s="358" t="s">
        <v>360</v>
      </c>
      <c r="E33" s="358" t="s">
        <v>353</v>
      </c>
      <c r="F33" s="358" t="s">
        <v>335</v>
      </c>
      <c r="G33" s="359">
        <f>SUM(H33+I33)</f>
        <v>98599.7</v>
      </c>
      <c r="H33" s="360">
        <f>SUM(H35:H39)</f>
        <v>95641.7</v>
      </c>
      <c r="I33" s="359">
        <f>SUM(I35:I39)</f>
        <v>2958</v>
      </c>
      <c r="J33" s="359">
        <f>K33+L33</f>
        <v>76119.6</v>
      </c>
      <c r="K33" s="360">
        <f>SUM(K35:K39)</f>
        <v>73836</v>
      </c>
      <c r="L33" s="359">
        <f>SUM(L35:L39)</f>
        <v>2283.6</v>
      </c>
      <c r="M33" s="359">
        <f t="shared" si="8"/>
        <v>114320.40000000001</v>
      </c>
      <c r="N33" s="360">
        <f>SUM(N35:N39)</f>
        <v>110890.8</v>
      </c>
      <c r="O33" s="359">
        <f>SUM(O35:O39)</f>
        <v>3429.5999999999995</v>
      </c>
      <c r="P33" s="43">
        <f>K33/H33*100</f>
        <v>77.20063528774584</v>
      </c>
      <c r="Q33" s="45">
        <f>M33/J33*100</f>
        <v>150.18523481468634</v>
      </c>
    </row>
    <row r="34" spans="1:17" s="352" customFormat="1" ht="12.75">
      <c r="A34" s="254" t="s">
        <v>195</v>
      </c>
      <c r="B34" s="348"/>
      <c r="C34" s="365"/>
      <c r="D34" s="366"/>
      <c r="E34" s="366"/>
      <c r="F34" s="366"/>
      <c r="G34" s="350"/>
      <c r="H34" s="351"/>
      <c r="I34" s="423"/>
      <c r="J34" s="350"/>
      <c r="K34" s="351"/>
      <c r="L34" s="423"/>
      <c r="M34" s="350">
        <f t="shared" si="8"/>
        <v>38200.8</v>
      </c>
      <c r="N34" s="351">
        <f>N36+N37+N38</f>
        <v>37054.8</v>
      </c>
      <c r="O34" s="350">
        <f>O36+O37+O38</f>
        <v>1146</v>
      </c>
      <c r="P34" s="350"/>
      <c r="Q34" s="350"/>
    </row>
    <row r="35" spans="1:17" s="376" customFormat="1" ht="25.5">
      <c r="A35" s="339" t="s">
        <v>261</v>
      </c>
      <c r="B35" s="359"/>
      <c r="C35" s="375"/>
      <c r="D35" s="359"/>
      <c r="E35" s="375"/>
      <c r="F35" s="375"/>
      <c r="G35" s="314">
        <f>H35+I35</f>
        <v>94239.7</v>
      </c>
      <c r="H35" s="278">
        <v>91412.5</v>
      </c>
      <c r="I35" s="273">
        <v>2827.2</v>
      </c>
      <c r="J35" s="314">
        <f>K35+L35</f>
        <v>72919.6</v>
      </c>
      <c r="K35" s="278">
        <v>70732</v>
      </c>
      <c r="L35" s="273">
        <v>2187.6</v>
      </c>
      <c r="M35" s="314">
        <f t="shared" si="8"/>
        <v>72919.6</v>
      </c>
      <c r="N35" s="278">
        <v>70732</v>
      </c>
      <c r="O35" s="279">
        <v>2187.6</v>
      </c>
      <c r="P35" s="359"/>
      <c r="Q35" s="314"/>
    </row>
    <row r="36" spans="1:17" s="300" customFormat="1" ht="12.75">
      <c r="A36" s="248" t="s">
        <v>209</v>
      </c>
      <c r="B36" s="297"/>
      <c r="C36" s="298"/>
      <c r="D36" s="297"/>
      <c r="E36" s="298"/>
      <c r="F36" s="298"/>
      <c r="G36" s="297"/>
      <c r="H36" s="299"/>
      <c r="I36" s="43"/>
      <c r="J36" s="297"/>
      <c r="K36" s="299"/>
      <c r="L36" s="43"/>
      <c r="M36" s="207">
        <f t="shared" si="8"/>
        <v>34310.100000000006</v>
      </c>
      <c r="N36" s="277">
        <v>33280.8</v>
      </c>
      <c r="O36" s="275">
        <v>1029.3</v>
      </c>
      <c r="P36" s="297"/>
      <c r="Q36" s="207"/>
    </row>
    <row r="37" spans="1:17" s="300" customFormat="1" ht="38.25">
      <c r="A37" s="340" t="s">
        <v>262</v>
      </c>
      <c r="B37" s="297"/>
      <c r="C37" s="298"/>
      <c r="D37" s="297"/>
      <c r="E37" s="298"/>
      <c r="F37" s="298"/>
      <c r="G37" s="297"/>
      <c r="H37" s="299"/>
      <c r="I37" s="43"/>
      <c r="J37" s="297"/>
      <c r="K37" s="299"/>
      <c r="L37" s="43"/>
      <c r="M37" s="207">
        <f t="shared" si="8"/>
        <v>1122.2</v>
      </c>
      <c r="N37" s="277">
        <v>1088.5</v>
      </c>
      <c r="O37" s="275">
        <v>33.7</v>
      </c>
      <c r="P37" s="297"/>
      <c r="Q37" s="207"/>
    </row>
    <row r="38" spans="1:17" s="300" customFormat="1" ht="38.25">
      <c r="A38" s="340" t="s">
        <v>263</v>
      </c>
      <c r="B38" s="297"/>
      <c r="C38" s="298"/>
      <c r="D38" s="297"/>
      <c r="E38" s="298"/>
      <c r="F38" s="298"/>
      <c r="G38" s="297"/>
      <c r="H38" s="299"/>
      <c r="I38" s="43"/>
      <c r="J38" s="297"/>
      <c r="K38" s="299"/>
      <c r="L38" s="43"/>
      <c r="M38" s="207">
        <f t="shared" si="8"/>
        <v>2768.5</v>
      </c>
      <c r="N38" s="277">
        <v>2685.5</v>
      </c>
      <c r="O38" s="275">
        <v>83</v>
      </c>
      <c r="P38" s="297"/>
      <c r="Q38" s="207"/>
    </row>
    <row r="39" spans="1:17" s="419" customFormat="1" ht="15">
      <c r="A39" s="444" t="s">
        <v>199</v>
      </c>
      <c r="B39" s="415"/>
      <c r="C39" s="418"/>
      <c r="D39" s="415"/>
      <c r="E39" s="418"/>
      <c r="F39" s="418"/>
      <c r="G39" s="415">
        <f>H39+I39</f>
        <v>4360</v>
      </c>
      <c r="H39" s="416">
        <f>H40+H41+H42</f>
        <v>4229.2</v>
      </c>
      <c r="I39" s="415">
        <f>I40+I41+I42</f>
        <v>130.8</v>
      </c>
      <c r="J39" s="415">
        <f>K39+L39</f>
        <v>3200</v>
      </c>
      <c r="K39" s="416">
        <v>3104</v>
      </c>
      <c r="L39" s="425">
        <f>L40+L41+L42</f>
        <v>96</v>
      </c>
      <c r="M39" s="415">
        <f t="shared" si="8"/>
        <v>3200</v>
      </c>
      <c r="N39" s="416">
        <f>N40+N41+N42</f>
        <v>3104</v>
      </c>
      <c r="O39" s="415">
        <f>O40+O41+O42</f>
        <v>96</v>
      </c>
      <c r="P39" s="415"/>
      <c r="Q39" s="415"/>
    </row>
    <row r="40" spans="1:17" s="316" customFormat="1" ht="17.25" customHeight="1">
      <c r="A40" s="378" t="s">
        <v>137</v>
      </c>
      <c r="B40" s="314"/>
      <c r="C40" s="377"/>
      <c r="D40" s="314"/>
      <c r="E40" s="377"/>
      <c r="F40" s="377"/>
      <c r="G40" s="314">
        <f>H40+I40</f>
        <v>3200</v>
      </c>
      <c r="H40" s="315">
        <v>3104</v>
      </c>
      <c r="I40" s="314">
        <v>96</v>
      </c>
      <c r="J40" s="314">
        <f>K40+L40</f>
        <v>3200</v>
      </c>
      <c r="K40" s="315">
        <v>3104</v>
      </c>
      <c r="L40" s="45">
        <v>96</v>
      </c>
      <c r="M40" s="314">
        <f t="shared" si="8"/>
        <v>3200</v>
      </c>
      <c r="N40" s="315">
        <v>3104</v>
      </c>
      <c r="O40" s="314">
        <v>96</v>
      </c>
      <c r="P40" s="314"/>
      <c r="Q40" s="314"/>
    </row>
    <row r="41" spans="1:17" s="316" customFormat="1" ht="25.5">
      <c r="A41" s="378" t="s">
        <v>295</v>
      </c>
      <c r="B41" s="314"/>
      <c r="C41" s="377"/>
      <c r="D41" s="314"/>
      <c r="E41" s="377"/>
      <c r="F41" s="377"/>
      <c r="G41" s="314">
        <f>H41+I41</f>
        <v>580</v>
      </c>
      <c r="H41" s="315">
        <v>562.6</v>
      </c>
      <c r="I41" s="314">
        <v>17.4</v>
      </c>
      <c r="J41" s="314">
        <f>K41+L41</f>
        <v>0</v>
      </c>
      <c r="K41" s="315">
        <v>0</v>
      </c>
      <c r="L41" s="45">
        <v>0</v>
      </c>
      <c r="M41" s="314">
        <f t="shared" si="8"/>
        <v>0</v>
      </c>
      <c r="N41" s="315">
        <v>0</v>
      </c>
      <c r="O41" s="314">
        <v>0</v>
      </c>
      <c r="P41" s="314"/>
      <c r="Q41" s="314"/>
    </row>
    <row r="42" spans="1:17" s="316" customFormat="1" ht="25.5">
      <c r="A42" s="378" t="s">
        <v>296</v>
      </c>
      <c r="B42" s="314"/>
      <c r="C42" s="377"/>
      <c r="D42" s="314"/>
      <c r="E42" s="377"/>
      <c r="F42" s="377"/>
      <c r="G42" s="314">
        <f>H42+I42</f>
        <v>580</v>
      </c>
      <c r="H42" s="315">
        <v>562.6</v>
      </c>
      <c r="I42" s="314">
        <v>17.4</v>
      </c>
      <c r="J42" s="314">
        <f>K42+L42</f>
        <v>0</v>
      </c>
      <c r="K42" s="315">
        <v>0</v>
      </c>
      <c r="L42" s="45">
        <v>0</v>
      </c>
      <c r="M42" s="314">
        <f t="shared" si="8"/>
        <v>0</v>
      </c>
      <c r="N42" s="315">
        <v>0</v>
      </c>
      <c r="O42" s="314">
        <v>0</v>
      </c>
      <c r="P42" s="314"/>
      <c r="Q42" s="314"/>
    </row>
  </sheetData>
  <mergeCells count="9">
    <mergeCell ref="Q5:Q7"/>
    <mergeCell ref="P5:P7"/>
    <mergeCell ref="A5:A7"/>
    <mergeCell ref="B5:B7"/>
    <mergeCell ref="C5:C7"/>
    <mergeCell ref="M5:O5"/>
    <mergeCell ref="D5:D7"/>
    <mergeCell ref="E5:E7"/>
    <mergeCell ref="F5:F7"/>
  </mergeCells>
  <printOptions gridLines="1"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T16" sqref="T16"/>
    </sheetView>
  </sheetViews>
  <sheetFormatPr defaultColWidth="9.00390625" defaultRowHeight="12.75"/>
  <cols>
    <col min="1" max="1" width="49.125" style="1" customWidth="1"/>
    <col min="2" max="2" width="8.125" style="1" customWidth="1"/>
    <col min="3" max="3" width="3.125" style="2" customWidth="1"/>
    <col min="4" max="4" width="3.25390625" style="1" customWidth="1"/>
    <col min="5" max="6" width="3.625" style="2" customWidth="1"/>
    <col min="7" max="7" width="9.125" style="1" customWidth="1"/>
    <col min="8" max="8" width="9.25390625" style="1" customWidth="1"/>
    <col min="9" max="9" width="7.75390625" style="1" customWidth="1"/>
    <col min="10" max="10" width="11.125" style="1" customWidth="1"/>
    <col min="11" max="11" width="10.625" style="1" customWidth="1"/>
    <col min="12" max="12" width="7.625" style="1" customWidth="1"/>
    <col min="13" max="13" width="9.75390625" style="1" customWidth="1"/>
    <col min="14" max="14" width="9.00390625" style="1" customWidth="1"/>
    <col min="15" max="15" width="7.00390625" style="1" customWidth="1"/>
    <col min="16" max="16" width="6.625" style="1" customWidth="1"/>
    <col min="17" max="17" width="5.625" style="1" customWidth="1"/>
    <col min="18" max="16384" width="9.125" style="1" customWidth="1"/>
  </cols>
  <sheetData>
    <row r="1" ht="12.75">
      <c r="H1" s="17" t="s">
        <v>31</v>
      </c>
    </row>
    <row r="2" ht="12.75">
      <c r="H2" s="17" t="s">
        <v>53</v>
      </c>
    </row>
    <row r="3" ht="12.75">
      <c r="H3" s="17" t="s">
        <v>52</v>
      </c>
    </row>
    <row r="4" ht="12.75">
      <c r="H4" s="17" t="s">
        <v>158</v>
      </c>
    </row>
    <row r="5" ht="12.75">
      <c r="O5" s="81" t="s">
        <v>32</v>
      </c>
    </row>
    <row r="6" spans="1:17" s="39" customFormat="1" ht="12.75">
      <c r="A6" s="560"/>
      <c r="B6" s="536" t="s">
        <v>308</v>
      </c>
      <c r="C6" s="536" t="s">
        <v>309</v>
      </c>
      <c r="D6" s="536" t="s">
        <v>310</v>
      </c>
      <c r="E6" s="536" t="s">
        <v>311</v>
      </c>
      <c r="F6" s="536" t="s">
        <v>312</v>
      </c>
      <c r="G6" s="35"/>
      <c r="H6" s="36" t="s">
        <v>24</v>
      </c>
      <c r="I6" s="37"/>
      <c r="J6" s="35"/>
      <c r="K6" s="38" t="s">
        <v>25</v>
      </c>
      <c r="L6" s="37"/>
      <c r="M6" s="566" t="s">
        <v>26</v>
      </c>
      <c r="N6" s="567"/>
      <c r="O6" s="568"/>
      <c r="P6" s="563" t="s">
        <v>66</v>
      </c>
      <c r="Q6" s="563" t="s">
        <v>15</v>
      </c>
    </row>
    <row r="7" spans="1:17" s="39" customFormat="1" ht="12.75">
      <c r="A7" s="561"/>
      <c r="B7" s="537"/>
      <c r="C7" s="537"/>
      <c r="D7" s="537"/>
      <c r="E7" s="537"/>
      <c r="F7" s="537"/>
      <c r="G7" s="40"/>
      <c r="H7" s="570"/>
      <c r="I7" s="570"/>
      <c r="J7" s="40"/>
      <c r="K7" s="569"/>
      <c r="L7" s="569"/>
      <c r="M7" s="40"/>
      <c r="N7" s="569"/>
      <c r="O7" s="569"/>
      <c r="P7" s="564"/>
      <c r="Q7" s="564"/>
    </row>
    <row r="8" spans="1:17" s="39" customFormat="1" ht="38.25">
      <c r="A8" s="562"/>
      <c r="B8" s="538"/>
      <c r="C8" s="538"/>
      <c r="D8" s="538"/>
      <c r="E8" s="538"/>
      <c r="F8" s="538"/>
      <c r="G8" s="41" t="s">
        <v>28</v>
      </c>
      <c r="H8" s="33" t="s">
        <v>29</v>
      </c>
      <c r="I8" s="195" t="s">
        <v>30</v>
      </c>
      <c r="J8" s="41" t="s">
        <v>28</v>
      </c>
      <c r="K8" s="33" t="s">
        <v>29</v>
      </c>
      <c r="L8" s="195" t="s">
        <v>30</v>
      </c>
      <c r="M8" s="41" t="s">
        <v>28</v>
      </c>
      <c r="N8" s="33" t="s">
        <v>29</v>
      </c>
      <c r="O8" s="195" t="s">
        <v>30</v>
      </c>
      <c r="P8" s="565"/>
      <c r="Q8" s="565"/>
    </row>
    <row r="9" spans="1:17" ht="12.75">
      <c r="A9" s="30" t="s">
        <v>34</v>
      </c>
      <c r="B9" s="27" t="s">
        <v>359</v>
      </c>
      <c r="C9" s="50"/>
      <c r="D9" s="27"/>
      <c r="E9" s="50"/>
      <c r="F9" s="50"/>
      <c r="G9" s="75">
        <f aca="true" t="shared" si="0" ref="G9:O9">SUM(G11+G65+G60)</f>
        <v>196544.6</v>
      </c>
      <c r="H9" s="84">
        <f t="shared" si="0"/>
        <v>191796.4</v>
      </c>
      <c r="I9" s="75">
        <f t="shared" si="0"/>
        <v>4748.2</v>
      </c>
      <c r="J9" s="75">
        <f t="shared" si="0"/>
        <v>143777.39999999997</v>
      </c>
      <c r="K9" s="84">
        <f t="shared" si="0"/>
        <v>140430.59999999998</v>
      </c>
      <c r="L9" s="75">
        <f t="shared" si="0"/>
        <v>3346.7999999999997</v>
      </c>
      <c r="M9" s="75">
        <f t="shared" si="0"/>
        <v>206980.9</v>
      </c>
      <c r="N9" s="84">
        <f t="shared" si="0"/>
        <v>202108</v>
      </c>
      <c r="O9" s="75">
        <f t="shared" si="0"/>
        <v>5272.899999999999</v>
      </c>
      <c r="P9" s="28">
        <f>K9/H9*100</f>
        <v>73.2185797022259</v>
      </c>
      <c r="Q9" s="28">
        <f>N9/K9*100</f>
        <v>143.92019972854922</v>
      </c>
    </row>
    <row r="10" spans="1:17" s="89" customFormat="1" ht="12.75">
      <c r="A10" s="254" t="s">
        <v>195</v>
      </c>
      <c r="B10" s="130"/>
      <c r="C10" s="129"/>
      <c r="D10" s="130"/>
      <c r="E10" s="129"/>
      <c r="F10" s="129"/>
      <c r="G10" s="156"/>
      <c r="H10" s="136"/>
      <c r="I10" s="75"/>
      <c r="J10" s="156"/>
      <c r="K10" s="136"/>
      <c r="L10" s="156"/>
      <c r="M10" s="156">
        <f>N10+O10</f>
        <v>63603.49999999999</v>
      </c>
      <c r="N10" s="136">
        <f>N22</f>
        <v>61677.399999999994</v>
      </c>
      <c r="O10" s="156">
        <f>O22</f>
        <v>1926.1</v>
      </c>
      <c r="P10" s="135"/>
      <c r="Q10" s="130"/>
    </row>
    <row r="11" spans="1:17" ht="25.5">
      <c r="A11" s="30" t="s">
        <v>324</v>
      </c>
      <c r="B11" s="27" t="s">
        <v>359</v>
      </c>
      <c r="C11" s="49" t="s">
        <v>325</v>
      </c>
      <c r="D11" s="27"/>
      <c r="E11" s="50"/>
      <c r="F11" s="50"/>
      <c r="G11" s="75">
        <f>SUM(G12)</f>
        <v>194250.9</v>
      </c>
      <c r="H11" s="84">
        <f>H12</f>
        <v>189502.69999999998</v>
      </c>
      <c r="I11" s="75">
        <f>I12</f>
        <v>4748.2</v>
      </c>
      <c r="J11" s="75">
        <f>SUM(J12)</f>
        <v>141593.09999999998</v>
      </c>
      <c r="K11" s="84">
        <f>K12</f>
        <v>138246.3</v>
      </c>
      <c r="L11" s="75">
        <f>L12</f>
        <v>3346.7999999999997</v>
      </c>
      <c r="M11" s="75">
        <f>SUM(M12)</f>
        <v>204796.6</v>
      </c>
      <c r="N11" s="84">
        <f>SUM(N12)</f>
        <v>199923.7</v>
      </c>
      <c r="O11" s="75">
        <f>O12</f>
        <v>5272.899999999999</v>
      </c>
      <c r="P11" s="28">
        <f>K11/H11*100</f>
        <v>72.95215318831869</v>
      </c>
      <c r="Q11" s="28">
        <f>N11/K11*100</f>
        <v>144.61414157196253</v>
      </c>
    </row>
    <row r="12" spans="1:17" ht="12.75">
      <c r="A12" s="27" t="s">
        <v>361</v>
      </c>
      <c r="B12" s="27" t="s">
        <v>359</v>
      </c>
      <c r="C12" s="49" t="s">
        <v>325</v>
      </c>
      <c r="D12" s="51" t="s">
        <v>360</v>
      </c>
      <c r="E12" s="50"/>
      <c r="F12" s="50"/>
      <c r="G12" s="27">
        <f aca="true" t="shared" si="1" ref="G12:M12">SUM(G13)</f>
        <v>194250.9</v>
      </c>
      <c r="H12" s="82">
        <f t="shared" si="1"/>
        <v>189502.69999999998</v>
      </c>
      <c r="I12" s="27">
        <f t="shared" si="1"/>
        <v>4748.2</v>
      </c>
      <c r="J12" s="27">
        <f t="shared" si="1"/>
        <v>141593.09999999998</v>
      </c>
      <c r="K12" s="82">
        <f>SUM(K13)</f>
        <v>138246.3</v>
      </c>
      <c r="L12" s="27">
        <f>SUM(L13)</f>
        <v>3346.7999999999997</v>
      </c>
      <c r="M12" s="27">
        <f t="shared" si="1"/>
        <v>204796.6</v>
      </c>
      <c r="N12" s="82">
        <f>SUM(N13)</f>
        <v>199923.7</v>
      </c>
      <c r="O12" s="27">
        <f>SUM(O13)</f>
        <v>5272.899999999999</v>
      </c>
      <c r="P12" s="27"/>
      <c r="Q12" s="27"/>
    </row>
    <row r="13" spans="1:17" ht="12.75">
      <c r="A13" s="27" t="s">
        <v>362</v>
      </c>
      <c r="B13" s="27" t="s">
        <v>359</v>
      </c>
      <c r="C13" s="49" t="s">
        <v>325</v>
      </c>
      <c r="D13" s="51" t="s">
        <v>360</v>
      </c>
      <c r="E13" s="51" t="s">
        <v>353</v>
      </c>
      <c r="F13" s="50"/>
      <c r="G13" s="71">
        <f>SUM(G14+G21)</f>
        <v>194250.9</v>
      </c>
      <c r="H13" s="82">
        <f>SUM(H14+H21)</f>
        <v>189502.69999999998</v>
      </c>
      <c r="I13" s="71">
        <f>SUM(I21)</f>
        <v>4748.2</v>
      </c>
      <c r="J13" s="71">
        <f>K13+L13</f>
        <v>141593.09999999998</v>
      </c>
      <c r="K13" s="82">
        <f>SUM(K14+K21)</f>
        <v>138246.3</v>
      </c>
      <c r="L13" s="71">
        <f>SUM(L14+L21)</f>
        <v>3346.7999999999997</v>
      </c>
      <c r="M13" s="71">
        <f>SUM(M14+M21)</f>
        <v>204796.6</v>
      </c>
      <c r="N13" s="82">
        <f>SUM(N14+N21)</f>
        <v>199923.7</v>
      </c>
      <c r="O13" s="27">
        <f>SUM(O14+O21)</f>
        <v>5272.899999999999</v>
      </c>
      <c r="P13" s="27"/>
      <c r="Q13" s="27"/>
    </row>
    <row r="14" spans="1:17" ht="12.75">
      <c r="A14" s="57" t="s">
        <v>354</v>
      </c>
      <c r="B14" s="27" t="s">
        <v>359</v>
      </c>
      <c r="C14" s="49" t="s">
        <v>325</v>
      </c>
      <c r="D14" s="51" t="s">
        <v>360</v>
      </c>
      <c r="E14" s="51" t="s">
        <v>353</v>
      </c>
      <c r="F14" s="51" t="s">
        <v>355</v>
      </c>
      <c r="G14" s="71">
        <f>SUM(G15+G18)</f>
        <v>35976.5</v>
      </c>
      <c r="H14" s="82">
        <f>SUM(H15+H18)</f>
        <v>35976.5</v>
      </c>
      <c r="I14" s="27"/>
      <c r="J14" s="27">
        <f>SUM(K14+L14)</f>
        <v>30047.100000000002</v>
      </c>
      <c r="K14" s="82">
        <f>SUM(K15+K18)</f>
        <v>30047.100000000002</v>
      </c>
      <c r="L14" s="71"/>
      <c r="M14" s="27">
        <f>SUM(N14+O14)</f>
        <v>30047.100000000002</v>
      </c>
      <c r="N14" s="82">
        <f>SUM(N15+N18)</f>
        <v>30047.100000000002</v>
      </c>
      <c r="O14" s="27"/>
      <c r="P14" s="27">
        <f>K14/H14*100</f>
        <v>83.51868580879186</v>
      </c>
      <c r="Q14" s="27">
        <f>N14/K14*100</f>
        <v>100</v>
      </c>
    </row>
    <row r="15" spans="1:17" ht="25.5">
      <c r="A15" s="29" t="s">
        <v>324</v>
      </c>
      <c r="B15" s="27" t="s">
        <v>359</v>
      </c>
      <c r="C15" s="49" t="s">
        <v>325</v>
      </c>
      <c r="D15" s="51" t="s">
        <v>360</v>
      </c>
      <c r="E15" s="51" t="s">
        <v>353</v>
      </c>
      <c r="F15" s="51" t="s">
        <v>355</v>
      </c>
      <c r="G15" s="27">
        <f>H15+I15</f>
        <v>25552.6</v>
      </c>
      <c r="H15" s="82">
        <f>H16+H17</f>
        <v>25552.6</v>
      </c>
      <c r="I15" s="27"/>
      <c r="J15" s="27">
        <f>K15+L15</f>
        <v>24756.4</v>
      </c>
      <c r="K15" s="82">
        <f>K16+K17</f>
        <v>24756.4</v>
      </c>
      <c r="L15" s="27"/>
      <c r="M15" s="27">
        <f>N15+O15</f>
        <v>24756.4</v>
      </c>
      <c r="N15" s="82">
        <f>N16+N17</f>
        <v>24756.4</v>
      </c>
      <c r="O15" s="27"/>
      <c r="P15" s="27">
        <f>K15/H15*100</f>
        <v>96.88407441904153</v>
      </c>
      <c r="Q15" s="27">
        <f>N15/K15*100</f>
        <v>100</v>
      </c>
    </row>
    <row r="16" spans="1:17" ht="63.75">
      <c r="A16" s="243" t="s">
        <v>203</v>
      </c>
      <c r="B16" s="27"/>
      <c r="C16" s="49"/>
      <c r="D16" s="51"/>
      <c r="E16" s="51"/>
      <c r="F16" s="51"/>
      <c r="G16" s="27"/>
      <c r="H16" s="83">
        <v>16636.2</v>
      </c>
      <c r="I16" s="27"/>
      <c r="J16" s="68"/>
      <c r="K16" s="83">
        <v>16636.2</v>
      </c>
      <c r="L16" s="68"/>
      <c r="M16" s="68"/>
      <c r="N16" s="83">
        <v>16636.2</v>
      </c>
      <c r="O16" s="68"/>
      <c r="P16" s="27"/>
      <c r="Q16" s="27"/>
    </row>
    <row r="17" spans="1:17" ht="76.5" customHeight="1">
      <c r="A17" s="269" t="s">
        <v>204</v>
      </c>
      <c r="B17" s="27"/>
      <c r="C17" s="49"/>
      <c r="D17" s="51"/>
      <c r="E17" s="51"/>
      <c r="F17" s="51"/>
      <c r="G17" s="27"/>
      <c r="H17" s="83">
        <v>8916.4</v>
      </c>
      <c r="I17" s="27"/>
      <c r="J17" s="68"/>
      <c r="K17" s="83">
        <v>8120.2</v>
      </c>
      <c r="L17" s="68"/>
      <c r="M17" s="68"/>
      <c r="N17" s="83">
        <v>8120.2</v>
      </c>
      <c r="O17" s="68"/>
      <c r="P17" s="27"/>
      <c r="Q17" s="27"/>
    </row>
    <row r="18" spans="1:17" ht="12.75">
      <c r="A18" s="53" t="s">
        <v>280</v>
      </c>
      <c r="B18" s="27" t="s">
        <v>359</v>
      </c>
      <c r="C18" s="49" t="s">
        <v>325</v>
      </c>
      <c r="D18" s="51" t="s">
        <v>360</v>
      </c>
      <c r="E18" s="51" t="s">
        <v>353</v>
      </c>
      <c r="F18" s="51" t="s">
        <v>355</v>
      </c>
      <c r="G18" s="27">
        <f>H18</f>
        <v>10423.9</v>
      </c>
      <c r="H18" s="82">
        <f>SUM(H19+H20)</f>
        <v>10423.9</v>
      </c>
      <c r="I18" s="27"/>
      <c r="J18" s="27"/>
      <c r="K18" s="82">
        <f>SUM(K19+K20)</f>
        <v>5290.7</v>
      </c>
      <c r="L18" s="27"/>
      <c r="M18" s="27"/>
      <c r="N18" s="82">
        <f>SUM(N19+N20)</f>
        <v>5290.7</v>
      </c>
      <c r="O18" s="28"/>
      <c r="P18" s="27">
        <f>K18/H18*100</f>
        <v>50.75547539788371</v>
      </c>
      <c r="Q18" s="27">
        <f>N18/K18*100</f>
        <v>100</v>
      </c>
    </row>
    <row r="19" spans="1:17" ht="25.5">
      <c r="A19" s="243" t="s">
        <v>205</v>
      </c>
      <c r="B19" s="27"/>
      <c r="C19" s="49"/>
      <c r="D19" s="51"/>
      <c r="E19" s="51"/>
      <c r="F19" s="51"/>
      <c r="G19" s="68"/>
      <c r="H19" s="83">
        <v>5000</v>
      </c>
      <c r="I19" s="27"/>
      <c r="J19" s="68"/>
      <c r="K19" s="83">
        <v>1494</v>
      </c>
      <c r="L19" s="68"/>
      <c r="M19" s="68"/>
      <c r="N19" s="83">
        <v>1494</v>
      </c>
      <c r="O19" s="68"/>
      <c r="P19" s="27"/>
      <c r="Q19" s="27"/>
    </row>
    <row r="20" spans="1:17" s="20" customFormat="1" ht="25.5">
      <c r="A20" s="270" t="s">
        <v>206</v>
      </c>
      <c r="B20" s="73"/>
      <c r="C20" s="116"/>
      <c r="D20" s="92"/>
      <c r="E20" s="92"/>
      <c r="F20" s="92"/>
      <c r="G20" s="73"/>
      <c r="H20" s="120">
        <v>5423.9</v>
      </c>
      <c r="I20" s="27"/>
      <c r="J20" s="73"/>
      <c r="K20" s="120">
        <v>3796.7</v>
      </c>
      <c r="L20" s="73"/>
      <c r="M20" s="73"/>
      <c r="N20" s="120">
        <v>3796.7</v>
      </c>
      <c r="O20" s="73"/>
      <c r="P20" s="73"/>
      <c r="Q20" s="73"/>
    </row>
    <row r="21" spans="1:17" ht="12.75">
      <c r="A21" s="30" t="s">
        <v>23</v>
      </c>
      <c r="B21" s="27" t="s">
        <v>359</v>
      </c>
      <c r="C21" s="49" t="s">
        <v>325</v>
      </c>
      <c r="D21" s="51" t="s">
        <v>360</v>
      </c>
      <c r="E21" s="51" t="s">
        <v>353</v>
      </c>
      <c r="F21" s="51" t="s">
        <v>335</v>
      </c>
      <c r="G21" s="28">
        <f>H21+I21</f>
        <v>158274.4</v>
      </c>
      <c r="H21" s="84">
        <f>SUM(H23+H32+H58)</f>
        <v>153526.19999999998</v>
      </c>
      <c r="I21" s="75">
        <f>SUM(I23+I32+I58)</f>
        <v>4748.2</v>
      </c>
      <c r="J21" s="28">
        <f>SUM(J23+J32)</f>
        <v>111146</v>
      </c>
      <c r="K21" s="84">
        <f>SUM(K23+K32+K58)</f>
        <v>108199.2</v>
      </c>
      <c r="L21" s="75">
        <f>SUM(L23+L32+L58)</f>
        <v>3346.7999999999997</v>
      </c>
      <c r="M21" s="28">
        <f>SUM(M23+M32)</f>
        <v>174749.5</v>
      </c>
      <c r="N21" s="84">
        <f>SUM(N23+N32+N58)</f>
        <v>169876.6</v>
      </c>
      <c r="O21" s="28">
        <f>SUM(O23+O32+O58)</f>
        <v>5272.899999999999</v>
      </c>
      <c r="P21" s="27">
        <f>K21/H21*100</f>
        <v>70.4760490391868</v>
      </c>
      <c r="Q21" s="27">
        <f>N21/K21*100</f>
        <v>157.00356379714452</v>
      </c>
    </row>
    <row r="22" spans="1:17" s="267" customFormat="1" ht="12.75">
      <c r="A22" s="255" t="s">
        <v>195</v>
      </c>
      <c r="B22" s="264"/>
      <c r="C22" s="262"/>
      <c r="D22" s="263"/>
      <c r="E22" s="263"/>
      <c r="F22" s="263"/>
      <c r="G22" s="264"/>
      <c r="H22" s="265"/>
      <c r="I22" s="421"/>
      <c r="J22" s="264"/>
      <c r="K22" s="265"/>
      <c r="L22" s="266"/>
      <c r="M22" s="264"/>
      <c r="N22" s="265">
        <f>N29+N33</f>
        <v>61677.399999999994</v>
      </c>
      <c r="O22" s="264">
        <f>O29+O33</f>
        <v>1926.1</v>
      </c>
      <c r="P22" s="27"/>
      <c r="Q22" s="27"/>
    </row>
    <row r="23" spans="1:17" s="502" customFormat="1" ht="12.75">
      <c r="A23" s="505" t="s">
        <v>82</v>
      </c>
      <c r="B23" s="117" t="s">
        <v>359</v>
      </c>
      <c r="C23" s="123" t="s">
        <v>325</v>
      </c>
      <c r="D23" s="124" t="s">
        <v>360</v>
      </c>
      <c r="E23" s="124" t="s">
        <v>353</v>
      </c>
      <c r="F23" s="124" t="s">
        <v>335</v>
      </c>
      <c r="G23" s="117">
        <f>SUM(H23+I23)</f>
        <v>27609.6</v>
      </c>
      <c r="H23" s="118">
        <f>H24+H25</f>
        <v>26781.3</v>
      </c>
      <c r="I23" s="117">
        <f>I24+I25</f>
        <v>828.3</v>
      </c>
      <c r="J23" s="117">
        <f>SUM(K23+L23)</f>
        <v>12197.8</v>
      </c>
      <c r="K23" s="118">
        <f>K24+K25</f>
        <v>11831.9</v>
      </c>
      <c r="L23" s="117">
        <f>L24+L25</f>
        <v>365.90000000000003</v>
      </c>
      <c r="M23" s="117">
        <f>SUM(N23+O23)</f>
        <v>12734</v>
      </c>
      <c r="N23" s="118">
        <f>N24+N25+N29</f>
        <v>12352</v>
      </c>
      <c r="O23" s="117">
        <f>O24+O25+O29</f>
        <v>382.00000000000006</v>
      </c>
      <c r="P23" s="117">
        <f>K23/H23*100</f>
        <v>44.179707482459776</v>
      </c>
      <c r="Q23" s="117">
        <f>N23/K23*100</f>
        <v>104.39574370980147</v>
      </c>
    </row>
    <row r="24" spans="1:17" s="19" customFormat="1" ht="25.5">
      <c r="A24" s="243" t="s">
        <v>207</v>
      </c>
      <c r="B24" s="68"/>
      <c r="C24" s="144"/>
      <c r="D24" s="67"/>
      <c r="E24" s="67"/>
      <c r="F24" s="67"/>
      <c r="G24" s="68">
        <f>H24+I24</f>
        <v>1030.9</v>
      </c>
      <c r="H24" s="83">
        <v>1000</v>
      </c>
      <c r="I24" s="73">
        <v>30.9</v>
      </c>
      <c r="J24" s="68">
        <f>K24+L24</f>
        <v>11.3</v>
      </c>
      <c r="K24" s="83">
        <v>11</v>
      </c>
      <c r="L24" s="68">
        <v>0.3</v>
      </c>
      <c r="M24" s="68">
        <f aca="true" t="shared" si="2" ref="M24:M31">N24+O24</f>
        <v>11.3</v>
      </c>
      <c r="N24" s="83">
        <v>11</v>
      </c>
      <c r="O24" s="68">
        <v>0.3</v>
      </c>
      <c r="P24" s="68"/>
      <c r="Q24" s="68"/>
    </row>
    <row r="25" spans="1:17" s="19" customFormat="1" ht="12.75">
      <c r="A25" s="271" t="s">
        <v>191</v>
      </c>
      <c r="B25" s="68"/>
      <c r="C25" s="144"/>
      <c r="D25" s="67"/>
      <c r="E25" s="67"/>
      <c r="F25" s="67"/>
      <c r="G25" s="68">
        <f>H25+I25</f>
        <v>26578.7</v>
      </c>
      <c r="H25" s="83">
        <f>H26+H27+H28</f>
        <v>25781.3</v>
      </c>
      <c r="I25" s="73">
        <f>I26+I27+I28</f>
        <v>797.4</v>
      </c>
      <c r="J25" s="68">
        <f>K25+L25</f>
        <v>12186.5</v>
      </c>
      <c r="K25" s="83">
        <f>K26+K27+K28</f>
        <v>11820.9</v>
      </c>
      <c r="L25" s="73">
        <f>L26+L27+L28</f>
        <v>365.6</v>
      </c>
      <c r="M25" s="68">
        <f t="shared" si="2"/>
        <v>12186.5</v>
      </c>
      <c r="N25" s="83">
        <f>N26+N27+N28</f>
        <v>11820.9</v>
      </c>
      <c r="O25" s="73">
        <f>O26+O27+O28</f>
        <v>365.6</v>
      </c>
      <c r="P25" s="68"/>
      <c r="Q25" s="68"/>
    </row>
    <row r="26" spans="1:17" s="147" customFormat="1" ht="27" customHeight="1">
      <c r="A26" s="161" t="s">
        <v>291</v>
      </c>
      <c r="B26" s="72"/>
      <c r="C26" s="151"/>
      <c r="D26" s="113"/>
      <c r="E26" s="113"/>
      <c r="F26" s="113"/>
      <c r="G26" s="68">
        <f>H26+I26</f>
        <v>19309.5</v>
      </c>
      <c r="H26" s="85">
        <v>18730.2</v>
      </c>
      <c r="I26" s="411">
        <v>579.3</v>
      </c>
      <c r="J26" s="68">
        <f>K26+L26</f>
        <v>12186.5</v>
      </c>
      <c r="K26" s="85">
        <v>11820.9</v>
      </c>
      <c r="L26" s="72">
        <v>365.6</v>
      </c>
      <c r="M26" s="68">
        <f t="shared" si="2"/>
        <v>12186.5</v>
      </c>
      <c r="N26" s="85">
        <v>11820.9</v>
      </c>
      <c r="O26" s="72">
        <v>365.6</v>
      </c>
      <c r="P26" s="72"/>
      <c r="Q26" s="72"/>
    </row>
    <row r="27" spans="1:17" s="147" customFormat="1" ht="24">
      <c r="A27" s="161" t="s">
        <v>292</v>
      </c>
      <c r="B27" s="72"/>
      <c r="C27" s="151"/>
      <c r="D27" s="113"/>
      <c r="E27" s="113"/>
      <c r="F27" s="113"/>
      <c r="G27" s="68">
        <f>H27+I27</f>
        <v>3158.2999999999997</v>
      </c>
      <c r="H27" s="85">
        <v>3063.6</v>
      </c>
      <c r="I27" s="411">
        <v>94.7</v>
      </c>
      <c r="J27" s="68">
        <f>K27+L27</f>
        <v>0</v>
      </c>
      <c r="K27" s="85">
        <v>0</v>
      </c>
      <c r="L27" s="72">
        <v>0</v>
      </c>
      <c r="M27" s="68">
        <f t="shared" si="2"/>
        <v>0</v>
      </c>
      <c r="N27" s="85">
        <v>0</v>
      </c>
      <c r="O27" s="72">
        <v>0</v>
      </c>
      <c r="P27" s="72"/>
      <c r="Q27" s="72"/>
    </row>
    <row r="28" spans="1:17" s="147" customFormat="1" ht="24">
      <c r="A28" s="161" t="s">
        <v>293</v>
      </c>
      <c r="B28" s="72"/>
      <c r="C28" s="151"/>
      <c r="D28" s="113"/>
      <c r="E28" s="113"/>
      <c r="F28" s="113"/>
      <c r="G28" s="68">
        <f>H28+I28</f>
        <v>4110.9</v>
      </c>
      <c r="H28" s="85">
        <v>3987.5</v>
      </c>
      <c r="I28" s="411">
        <v>123.4</v>
      </c>
      <c r="J28" s="68">
        <f>K28+L28</f>
        <v>0</v>
      </c>
      <c r="K28" s="85">
        <v>0</v>
      </c>
      <c r="L28" s="72">
        <v>0</v>
      </c>
      <c r="M28" s="68">
        <f t="shared" si="2"/>
        <v>0</v>
      </c>
      <c r="N28" s="85">
        <v>0</v>
      </c>
      <c r="O28" s="72">
        <v>0</v>
      </c>
      <c r="P28" s="72"/>
      <c r="Q28" s="72"/>
    </row>
    <row r="29" spans="1:17" ht="12.75">
      <c r="A29" s="485" t="s">
        <v>67</v>
      </c>
      <c r="B29" s="27"/>
      <c r="C29" s="49"/>
      <c r="D29" s="51"/>
      <c r="E29" s="51"/>
      <c r="F29" s="51"/>
      <c r="G29" s="162"/>
      <c r="H29" s="145"/>
      <c r="I29" s="27"/>
      <c r="J29" s="27"/>
      <c r="K29" s="82"/>
      <c r="L29" s="27"/>
      <c r="M29" s="158">
        <f t="shared" si="2"/>
        <v>536.2</v>
      </c>
      <c r="N29" s="163">
        <f>N30+N31</f>
        <v>520.1</v>
      </c>
      <c r="O29" s="158">
        <f>O30+O31</f>
        <v>16.1</v>
      </c>
      <c r="P29" s="27"/>
      <c r="Q29" s="130">
        <v>100</v>
      </c>
    </row>
    <row r="30" spans="1:17" s="19" customFormat="1" ht="36" customHeight="1">
      <c r="A30" s="382" t="s">
        <v>306</v>
      </c>
      <c r="B30" s="68"/>
      <c r="C30" s="144"/>
      <c r="D30" s="67"/>
      <c r="E30" s="67"/>
      <c r="F30" s="67"/>
      <c r="G30" s="68"/>
      <c r="H30" s="83"/>
      <c r="I30" s="27"/>
      <c r="J30" s="68"/>
      <c r="K30" s="83"/>
      <c r="L30" s="68"/>
      <c r="M30" s="158">
        <f t="shared" si="2"/>
        <v>280</v>
      </c>
      <c r="N30" s="163">
        <v>271.6</v>
      </c>
      <c r="O30" s="130">
        <v>8.4</v>
      </c>
      <c r="P30" s="68"/>
      <c r="Q30" s="130">
        <v>100</v>
      </c>
    </row>
    <row r="31" spans="1:17" s="87" customFormat="1" ht="25.5">
      <c r="A31" s="382" t="s">
        <v>307</v>
      </c>
      <c r="B31" s="164"/>
      <c r="C31" s="164"/>
      <c r="D31" s="165"/>
      <c r="E31" s="165"/>
      <c r="F31" s="165"/>
      <c r="G31" s="164"/>
      <c r="H31" s="166"/>
      <c r="I31" s="58"/>
      <c r="J31" s="164"/>
      <c r="K31" s="166"/>
      <c r="L31" s="164"/>
      <c r="M31" s="158">
        <f t="shared" si="2"/>
        <v>256.2</v>
      </c>
      <c r="N31" s="132">
        <v>248.5</v>
      </c>
      <c r="O31" s="131">
        <v>7.7</v>
      </c>
      <c r="P31" s="131"/>
      <c r="Q31" s="131">
        <v>100</v>
      </c>
    </row>
    <row r="32" spans="1:17" s="502" customFormat="1" ht="12.75">
      <c r="A32" s="503" t="s">
        <v>35</v>
      </c>
      <c r="B32" s="117" t="s">
        <v>359</v>
      </c>
      <c r="C32" s="123" t="s">
        <v>325</v>
      </c>
      <c r="D32" s="124" t="s">
        <v>360</v>
      </c>
      <c r="E32" s="124" t="s">
        <v>353</v>
      </c>
      <c r="F32" s="124" t="s">
        <v>335</v>
      </c>
      <c r="G32" s="117">
        <f>SUM(H32+I32)</f>
        <v>129237</v>
      </c>
      <c r="H32" s="118">
        <f>H34+H35+H36+H38+H39+H40+H41+H42+H43+H44+H46+H48+H49+H55</f>
        <v>125359.9</v>
      </c>
      <c r="I32" s="117">
        <f>I34+I35+I36+I38+I39+I40+I41+I42+I43+I44+I46+I48+I49+I55</f>
        <v>3877.1</v>
      </c>
      <c r="J32" s="117">
        <f>SUM(K32+L32)</f>
        <v>98948.2</v>
      </c>
      <c r="K32" s="118">
        <f>K34+K35+K36+K38+K39+K40+K41+K42+K43+K44+K46+K48+K49+K55+0.1</f>
        <v>95979.7</v>
      </c>
      <c r="L32" s="117">
        <f>L34+L35+L36+L38+L39+L40+L41+L42+L43+L44+L46+L48+L49+L55</f>
        <v>2968.4999999999995</v>
      </c>
      <c r="M32" s="117">
        <f>SUM(N32+O32)</f>
        <v>162015.5</v>
      </c>
      <c r="N32" s="118">
        <f>SUM(N34:N55)+0.1</f>
        <v>157137</v>
      </c>
      <c r="O32" s="117">
        <f>SUM(O34:O55)</f>
        <v>4878.499999999999</v>
      </c>
      <c r="P32" s="117">
        <f>K32/H32*100</f>
        <v>76.56331889224545</v>
      </c>
      <c r="Q32" s="117">
        <f>N32/K32*100</f>
        <v>163.71899474576395</v>
      </c>
    </row>
    <row r="33" spans="1:17" s="134" customFormat="1" ht="12.75">
      <c r="A33" s="255" t="s">
        <v>195</v>
      </c>
      <c r="B33" s="141"/>
      <c r="C33" s="142"/>
      <c r="D33" s="143"/>
      <c r="E33" s="143"/>
      <c r="F33" s="143"/>
      <c r="G33" s="141"/>
      <c r="H33" s="140"/>
      <c r="I33" s="76"/>
      <c r="J33" s="141"/>
      <c r="K33" s="140"/>
      <c r="L33" s="141"/>
      <c r="M33" s="141"/>
      <c r="N33" s="140">
        <f>N37+N45+N47+N51+N52+N53+N54</f>
        <v>61157.299999999996</v>
      </c>
      <c r="O33" s="141">
        <f>O37+O45+O47+O51+O52+O53+O54</f>
        <v>1910</v>
      </c>
      <c r="P33" s="141"/>
      <c r="Q33" s="141"/>
    </row>
    <row r="34" spans="1:17" s="20" customFormat="1" ht="12.75">
      <c r="A34" s="242" t="s">
        <v>264</v>
      </c>
      <c r="B34" s="73"/>
      <c r="C34" s="116"/>
      <c r="D34" s="92"/>
      <c r="E34" s="92"/>
      <c r="F34" s="92"/>
      <c r="G34" s="73">
        <f>H34+I34</f>
        <v>4673.099999999999</v>
      </c>
      <c r="H34" s="278">
        <v>4532.9</v>
      </c>
      <c r="I34" s="279">
        <v>140.2</v>
      </c>
      <c r="J34" s="73">
        <f>K34+L34</f>
        <v>4673</v>
      </c>
      <c r="K34" s="120">
        <v>4532.8</v>
      </c>
      <c r="L34" s="73">
        <v>140.2</v>
      </c>
      <c r="M34" s="73">
        <f>N34+O34</f>
        <v>4673</v>
      </c>
      <c r="N34" s="120">
        <v>4532.8</v>
      </c>
      <c r="O34" s="73">
        <v>140.2</v>
      </c>
      <c r="P34" s="73"/>
      <c r="Q34" s="73"/>
    </row>
    <row r="35" spans="1:17" s="20" customFormat="1" ht="12.75">
      <c r="A35" s="339" t="s">
        <v>265</v>
      </c>
      <c r="B35" s="73"/>
      <c r="C35" s="116"/>
      <c r="D35" s="92"/>
      <c r="E35" s="92"/>
      <c r="F35" s="92"/>
      <c r="G35" s="73">
        <f>H35+I35</f>
        <v>2785</v>
      </c>
      <c r="H35" s="278">
        <v>2701.5</v>
      </c>
      <c r="I35" s="279">
        <v>83.5</v>
      </c>
      <c r="J35" s="73">
        <f>K35+L35</f>
        <v>2776.6000000000004</v>
      </c>
      <c r="K35" s="120">
        <v>2693.3</v>
      </c>
      <c r="L35" s="73">
        <v>83.3</v>
      </c>
      <c r="M35" s="73">
        <f>N35+O35</f>
        <v>2776.6000000000004</v>
      </c>
      <c r="N35" s="120">
        <v>2693.3</v>
      </c>
      <c r="O35" s="73">
        <v>83.3</v>
      </c>
      <c r="P35" s="73"/>
      <c r="Q35" s="73"/>
    </row>
    <row r="36" spans="1:17" s="20" customFormat="1" ht="12.75">
      <c r="A36" s="242" t="s">
        <v>266</v>
      </c>
      <c r="B36" s="73"/>
      <c r="C36" s="116"/>
      <c r="D36" s="92"/>
      <c r="E36" s="92"/>
      <c r="F36" s="92"/>
      <c r="G36" s="73">
        <f>H36+I36</f>
        <v>8254.8</v>
      </c>
      <c r="H36" s="278">
        <v>8007.2</v>
      </c>
      <c r="I36" s="279">
        <v>247.6</v>
      </c>
      <c r="J36" s="73">
        <f>K36+L36</f>
        <v>7776</v>
      </c>
      <c r="K36" s="120">
        <v>7542.7</v>
      </c>
      <c r="L36" s="73">
        <v>233.3</v>
      </c>
      <c r="M36" s="73">
        <f>N36+O36</f>
        <v>7776</v>
      </c>
      <c r="N36" s="120">
        <v>7542.7</v>
      </c>
      <c r="O36" s="73">
        <v>233.3</v>
      </c>
      <c r="P36" s="73"/>
      <c r="Q36" s="73"/>
    </row>
    <row r="37" spans="1:17" s="19" customFormat="1" ht="12.75">
      <c r="A37" s="248" t="s">
        <v>209</v>
      </c>
      <c r="B37" s="68"/>
      <c r="C37" s="144"/>
      <c r="D37" s="67"/>
      <c r="E37" s="67"/>
      <c r="F37" s="67"/>
      <c r="G37" s="68"/>
      <c r="H37" s="277"/>
      <c r="I37" s="279"/>
      <c r="J37" s="68"/>
      <c r="K37" s="83"/>
      <c r="L37" s="68"/>
      <c r="M37" s="68"/>
      <c r="N37" s="277">
        <v>6790</v>
      </c>
      <c r="O37" s="275">
        <v>210</v>
      </c>
      <c r="P37" s="68"/>
      <c r="Q37" s="130">
        <v>100</v>
      </c>
    </row>
    <row r="38" spans="1:17" s="20" customFormat="1" ht="27.75" customHeight="1">
      <c r="A38" s="242" t="s">
        <v>97</v>
      </c>
      <c r="B38" s="73"/>
      <c r="C38" s="116"/>
      <c r="D38" s="92"/>
      <c r="E38" s="92"/>
      <c r="F38" s="92"/>
      <c r="G38" s="73">
        <f aca="true" t="shared" si="3" ref="G38:G44">H38+I38</f>
        <v>3170.5</v>
      </c>
      <c r="H38" s="278">
        <v>3075.4</v>
      </c>
      <c r="I38" s="279">
        <v>95.1</v>
      </c>
      <c r="J38" s="73">
        <f aca="true" t="shared" si="4" ref="J38:J44">K38+L38</f>
        <v>0</v>
      </c>
      <c r="K38" s="278">
        <v>0</v>
      </c>
      <c r="L38" s="279">
        <v>0</v>
      </c>
      <c r="M38" s="73">
        <f aca="true" t="shared" si="5" ref="M38:M44">N38+O38</f>
        <v>0</v>
      </c>
      <c r="N38" s="278">
        <v>0</v>
      </c>
      <c r="O38" s="279">
        <v>0</v>
      </c>
      <c r="P38" s="73"/>
      <c r="Q38" s="73"/>
    </row>
    <row r="39" spans="1:17" s="20" customFormat="1" ht="25.5">
      <c r="A39" s="339" t="s">
        <v>267</v>
      </c>
      <c r="B39" s="73"/>
      <c r="C39" s="116"/>
      <c r="D39" s="92"/>
      <c r="E39" s="92"/>
      <c r="F39" s="92"/>
      <c r="G39" s="73">
        <f t="shared" si="3"/>
        <v>12314.9</v>
      </c>
      <c r="H39" s="278">
        <v>11945.5</v>
      </c>
      <c r="I39" s="279">
        <v>369.4</v>
      </c>
      <c r="J39" s="73">
        <f t="shared" si="4"/>
        <v>12314.9</v>
      </c>
      <c r="K39" s="278">
        <v>11945.5</v>
      </c>
      <c r="L39" s="279">
        <v>369.4</v>
      </c>
      <c r="M39" s="73">
        <f t="shared" si="5"/>
        <v>12314.9</v>
      </c>
      <c r="N39" s="278">
        <v>11945.5</v>
      </c>
      <c r="O39" s="279">
        <v>369.4</v>
      </c>
      <c r="P39" s="73"/>
      <c r="Q39" s="73"/>
    </row>
    <row r="40" spans="1:17" s="20" customFormat="1" ht="38.25">
      <c r="A40" s="339" t="s">
        <v>268</v>
      </c>
      <c r="B40" s="73"/>
      <c r="C40" s="116"/>
      <c r="D40" s="92"/>
      <c r="E40" s="92"/>
      <c r="F40" s="92"/>
      <c r="G40" s="73">
        <f t="shared" si="3"/>
        <v>16878.2</v>
      </c>
      <c r="H40" s="278">
        <v>16371.9</v>
      </c>
      <c r="I40" s="279">
        <v>506.3</v>
      </c>
      <c r="J40" s="73">
        <f t="shared" si="4"/>
        <v>12633.4</v>
      </c>
      <c r="K40" s="120">
        <v>12254.4</v>
      </c>
      <c r="L40" s="73">
        <v>379</v>
      </c>
      <c r="M40" s="73">
        <f t="shared" si="5"/>
        <v>12633.4</v>
      </c>
      <c r="N40" s="120">
        <v>12254.4</v>
      </c>
      <c r="O40" s="73">
        <v>379</v>
      </c>
      <c r="P40" s="73"/>
      <c r="Q40" s="73"/>
    </row>
    <row r="41" spans="1:17" s="20" customFormat="1" ht="12.75">
      <c r="A41" s="339" t="s">
        <v>269</v>
      </c>
      <c r="B41" s="73"/>
      <c r="C41" s="116"/>
      <c r="D41" s="92"/>
      <c r="E41" s="92"/>
      <c r="F41" s="92"/>
      <c r="G41" s="73">
        <f t="shared" si="3"/>
        <v>4404</v>
      </c>
      <c r="H41" s="278">
        <v>4271.9</v>
      </c>
      <c r="I41" s="279">
        <v>132.1</v>
      </c>
      <c r="J41" s="73">
        <f t="shared" si="4"/>
        <v>4404</v>
      </c>
      <c r="K41" s="120">
        <v>4271.9</v>
      </c>
      <c r="L41" s="73">
        <v>132.1</v>
      </c>
      <c r="M41" s="73">
        <f t="shared" si="5"/>
        <v>4404</v>
      </c>
      <c r="N41" s="120">
        <v>4271.9</v>
      </c>
      <c r="O41" s="73">
        <v>132.1</v>
      </c>
      <c r="P41" s="73"/>
      <c r="Q41" s="73"/>
    </row>
    <row r="42" spans="1:17" s="20" customFormat="1" ht="12.75">
      <c r="A42" s="242" t="s">
        <v>270</v>
      </c>
      <c r="B42" s="73"/>
      <c r="C42" s="116"/>
      <c r="D42" s="92"/>
      <c r="E42" s="92"/>
      <c r="F42" s="92"/>
      <c r="G42" s="73">
        <f t="shared" si="3"/>
        <v>638.7</v>
      </c>
      <c r="H42" s="278">
        <v>619.5</v>
      </c>
      <c r="I42" s="279">
        <v>19.2</v>
      </c>
      <c r="J42" s="73">
        <f t="shared" si="4"/>
        <v>629.5</v>
      </c>
      <c r="K42" s="120">
        <v>610.6</v>
      </c>
      <c r="L42" s="73">
        <v>18.9</v>
      </c>
      <c r="M42" s="73">
        <f t="shared" si="5"/>
        <v>629.5</v>
      </c>
      <c r="N42" s="120">
        <v>610.6</v>
      </c>
      <c r="O42" s="73">
        <v>18.9</v>
      </c>
      <c r="P42" s="73"/>
      <c r="Q42" s="73"/>
    </row>
    <row r="43" spans="1:17" s="20" customFormat="1" ht="25.5">
      <c r="A43" s="339" t="s">
        <v>271</v>
      </c>
      <c r="B43" s="73"/>
      <c r="C43" s="116"/>
      <c r="D43" s="92"/>
      <c r="E43" s="92"/>
      <c r="F43" s="92"/>
      <c r="G43" s="73">
        <f t="shared" si="3"/>
        <v>762.6</v>
      </c>
      <c r="H43" s="278">
        <v>739.7</v>
      </c>
      <c r="I43" s="279">
        <v>22.9</v>
      </c>
      <c r="J43" s="73">
        <f t="shared" si="4"/>
        <v>762.6</v>
      </c>
      <c r="K43" s="120">
        <f>H43</f>
        <v>739.7</v>
      </c>
      <c r="L43" s="73">
        <v>22.9</v>
      </c>
      <c r="M43" s="73">
        <f t="shared" si="5"/>
        <v>762.6</v>
      </c>
      <c r="N43" s="120">
        <f>K43</f>
        <v>739.7</v>
      </c>
      <c r="O43" s="73">
        <v>22.9</v>
      </c>
      <c r="P43" s="73"/>
      <c r="Q43" s="73"/>
    </row>
    <row r="44" spans="1:17" s="20" customFormat="1" ht="25.5">
      <c r="A44" s="242" t="s">
        <v>272</v>
      </c>
      <c r="B44" s="73"/>
      <c r="C44" s="116"/>
      <c r="D44" s="92"/>
      <c r="E44" s="92"/>
      <c r="F44" s="92"/>
      <c r="G44" s="73">
        <f t="shared" si="3"/>
        <v>5563.299999999999</v>
      </c>
      <c r="H44" s="278">
        <v>5396.4</v>
      </c>
      <c r="I44" s="279">
        <v>166.9</v>
      </c>
      <c r="J44" s="73">
        <f t="shared" si="4"/>
        <v>5563.299999999999</v>
      </c>
      <c r="K44" s="120">
        <v>5396.4</v>
      </c>
      <c r="L44" s="73">
        <v>166.9</v>
      </c>
      <c r="M44" s="73">
        <f t="shared" si="5"/>
        <v>5563.299999999999</v>
      </c>
      <c r="N44" s="120">
        <v>5396.4</v>
      </c>
      <c r="O44" s="73">
        <v>166.9</v>
      </c>
      <c r="P44" s="73"/>
      <c r="Q44" s="73"/>
    </row>
    <row r="45" spans="1:17" s="19" customFormat="1" ht="12.75">
      <c r="A45" s="248" t="s">
        <v>209</v>
      </c>
      <c r="B45" s="68"/>
      <c r="C45" s="144"/>
      <c r="D45" s="67"/>
      <c r="E45" s="67"/>
      <c r="F45" s="67"/>
      <c r="G45" s="68"/>
      <c r="H45" s="277"/>
      <c r="I45" s="279"/>
      <c r="J45" s="68"/>
      <c r="K45" s="83"/>
      <c r="L45" s="68"/>
      <c r="M45" s="68"/>
      <c r="N45" s="277">
        <v>2603.4</v>
      </c>
      <c r="O45" s="275">
        <v>80.5</v>
      </c>
      <c r="P45" s="68"/>
      <c r="Q45" s="130">
        <v>100</v>
      </c>
    </row>
    <row r="46" spans="1:17" s="20" customFormat="1" ht="38.25">
      <c r="A46" s="242" t="s">
        <v>273</v>
      </c>
      <c r="B46" s="73"/>
      <c r="C46" s="116"/>
      <c r="D46" s="92"/>
      <c r="E46" s="92"/>
      <c r="F46" s="92"/>
      <c r="G46" s="73">
        <f>H46+I46</f>
        <v>39942.200000000004</v>
      </c>
      <c r="H46" s="278">
        <v>38743.9</v>
      </c>
      <c r="I46" s="279">
        <v>1198.3</v>
      </c>
      <c r="J46" s="73">
        <f>K46+L46</f>
        <v>17934.1</v>
      </c>
      <c r="K46" s="120">
        <v>17396.1</v>
      </c>
      <c r="L46" s="73">
        <v>538</v>
      </c>
      <c r="M46" s="73">
        <f>N46+O46</f>
        <v>17934.1</v>
      </c>
      <c r="N46" s="120">
        <v>17396.1</v>
      </c>
      <c r="O46" s="73">
        <v>538</v>
      </c>
      <c r="P46" s="73"/>
      <c r="Q46" s="73"/>
    </row>
    <row r="47" spans="1:17" s="19" customFormat="1" ht="12.75">
      <c r="A47" s="248" t="s">
        <v>209</v>
      </c>
      <c r="B47" s="68"/>
      <c r="C47" s="144"/>
      <c r="D47" s="67"/>
      <c r="E47" s="67"/>
      <c r="F47" s="67"/>
      <c r="G47" s="68"/>
      <c r="H47" s="277"/>
      <c r="I47" s="273"/>
      <c r="J47" s="68"/>
      <c r="K47" s="83"/>
      <c r="L47" s="68"/>
      <c r="M47" s="68"/>
      <c r="N47" s="277">
        <v>27790.4</v>
      </c>
      <c r="O47" s="275">
        <v>859.5</v>
      </c>
      <c r="P47" s="68"/>
      <c r="Q47" s="68"/>
    </row>
    <row r="48" spans="1:17" s="20" customFormat="1" ht="12.75">
      <c r="A48" s="242" t="s">
        <v>274</v>
      </c>
      <c r="B48" s="73"/>
      <c r="C48" s="116"/>
      <c r="D48" s="92"/>
      <c r="E48" s="92"/>
      <c r="F48" s="92"/>
      <c r="G48" s="73">
        <f>H48+I48</f>
        <v>7481.9</v>
      </c>
      <c r="H48" s="278">
        <v>7257.4</v>
      </c>
      <c r="I48" s="279">
        <v>224.5</v>
      </c>
      <c r="J48" s="73">
        <f>K48+L48</f>
        <v>7471.7</v>
      </c>
      <c r="K48" s="120">
        <v>7247.5</v>
      </c>
      <c r="L48" s="73">
        <v>224.2</v>
      </c>
      <c r="M48" s="73">
        <f>N48+O48</f>
        <v>7471.7</v>
      </c>
      <c r="N48" s="120">
        <v>7247.5</v>
      </c>
      <c r="O48" s="73">
        <v>224.2</v>
      </c>
      <c r="P48" s="73"/>
      <c r="Q48" s="73"/>
    </row>
    <row r="49" spans="1:17" s="20" customFormat="1" ht="12.75">
      <c r="A49" s="242" t="s">
        <v>275</v>
      </c>
      <c r="B49" s="73"/>
      <c r="C49" s="116"/>
      <c r="D49" s="92"/>
      <c r="E49" s="92"/>
      <c r="F49" s="92"/>
      <c r="G49" s="73">
        <f>H49+I49</f>
        <v>7795.299999999999</v>
      </c>
      <c r="H49" s="278">
        <v>7561.4</v>
      </c>
      <c r="I49" s="279">
        <v>233.9</v>
      </c>
      <c r="J49" s="73">
        <f>K49+L49</f>
        <v>7436.5</v>
      </c>
      <c r="K49" s="120">
        <v>7213.4</v>
      </c>
      <c r="L49" s="73">
        <v>223.1</v>
      </c>
      <c r="M49" s="73">
        <f>N49+O49</f>
        <v>7436.5</v>
      </c>
      <c r="N49" s="120">
        <v>7213.4</v>
      </c>
      <c r="O49" s="73">
        <v>223.1</v>
      </c>
      <c r="P49" s="73"/>
      <c r="Q49" s="73"/>
    </row>
    <row r="50" spans="1:17" ht="12.75">
      <c r="A50" s="485" t="s">
        <v>67</v>
      </c>
      <c r="B50" s="27"/>
      <c r="C50" s="49"/>
      <c r="D50" s="51"/>
      <c r="E50" s="51"/>
      <c r="F50" s="51"/>
      <c r="G50" s="162"/>
      <c r="H50" s="145"/>
      <c r="I50" s="73"/>
      <c r="J50" s="27"/>
      <c r="K50" s="82"/>
      <c r="L50" s="27"/>
      <c r="M50" s="158"/>
      <c r="N50" s="163"/>
      <c r="O50" s="130"/>
      <c r="P50" s="27"/>
      <c r="Q50" s="130"/>
    </row>
    <row r="51" spans="1:17" s="20" customFormat="1" ht="12.75">
      <c r="A51" s="383" t="s">
        <v>68</v>
      </c>
      <c r="B51" s="73"/>
      <c r="C51" s="116"/>
      <c r="D51" s="92"/>
      <c r="E51" s="92"/>
      <c r="F51" s="92"/>
      <c r="G51" s="73"/>
      <c r="H51" s="278"/>
      <c r="I51" s="279"/>
      <c r="J51" s="73"/>
      <c r="K51" s="120"/>
      <c r="L51" s="73"/>
      <c r="M51" s="130">
        <f>N51+O51</f>
        <v>5123.7</v>
      </c>
      <c r="N51" s="163">
        <v>4970</v>
      </c>
      <c r="O51" s="130">
        <v>153.7</v>
      </c>
      <c r="P51" s="73"/>
      <c r="Q51" s="130">
        <v>100</v>
      </c>
    </row>
    <row r="52" spans="1:17" ht="12.75">
      <c r="A52" s="383" t="s">
        <v>69</v>
      </c>
      <c r="B52" s="130"/>
      <c r="C52" s="138"/>
      <c r="D52" s="139"/>
      <c r="E52" s="139"/>
      <c r="F52" s="139"/>
      <c r="G52" s="130"/>
      <c r="H52" s="277"/>
      <c r="I52" s="279"/>
      <c r="J52" s="130"/>
      <c r="K52" s="163"/>
      <c r="L52" s="130"/>
      <c r="M52" s="130">
        <f aca="true" t="shared" si="6" ref="M52:M57">N52+O52</f>
        <v>260</v>
      </c>
      <c r="N52" s="277">
        <v>252.2</v>
      </c>
      <c r="O52" s="275">
        <v>7.8</v>
      </c>
      <c r="P52" s="130"/>
      <c r="Q52" s="130">
        <v>100</v>
      </c>
    </row>
    <row r="53" spans="1:17" ht="12.75">
      <c r="A53" s="383" t="s">
        <v>71</v>
      </c>
      <c r="B53" s="130"/>
      <c r="C53" s="138"/>
      <c r="D53" s="139"/>
      <c r="E53" s="139"/>
      <c r="F53" s="139"/>
      <c r="G53" s="130"/>
      <c r="H53" s="277"/>
      <c r="I53" s="279"/>
      <c r="J53" s="130"/>
      <c r="K53" s="163"/>
      <c r="L53" s="130"/>
      <c r="M53" s="130">
        <f t="shared" si="6"/>
        <v>12187.800000000001</v>
      </c>
      <c r="N53" s="277">
        <v>11822.2</v>
      </c>
      <c r="O53" s="275">
        <v>365.6</v>
      </c>
      <c r="P53" s="130"/>
      <c r="Q53" s="130">
        <v>100</v>
      </c>
    </row>
    <row r="54" spans="1:17" ht="12.75">
      <c r="A54" s="383" t="s">
        <v>70</v>
      </c>
      <c r="B54" s="130"/>
      <c r="C54" s="138"/>
      <c r="D54" s="139"/>
      <c r="E54" s="139"/>
      <c r="F54" s="139"/>
      <c r="G54" s="130"/>
      <c r="H54" s="277"/>
      <c r="I54" s="279"/>
      <c r="J54" s="130"/>
      <c r="K54" s="163"/>
      <c r="L54" s="130"/>
      <c r="M54" s="130">
        <f t="shared" si="6"/>
        <v>7162</v>
      </c>
      <c r="N54" s="277">
        <v>6929.1</v>
      </c>
      <c r="O54" s="275">
        <v>232.9</v>
      </c>
      <c r="P54" s="130"/>
      <c r="Q54" s="130">
        <v>100</v>
      </c>
    </row>
    <row r="55" spans="1:17" ht="12.75">
      <c r="A55" s="271" t="s">
        <v>191</v>
      </c>
      <c r="B55" s="130"/>
      <c r="C55" s="138"/>
      <c r="D55" s="139"/>
      <c r="E55" s="139"/>
      <c r="F55" s="139"/>
      <c r="G55" s="73">
        <f>H55+I55</f>
        <v>14572.5</v>
      </c>
      <c r="H55" s="278">
        <f>H56+H57</f>
        <v>14135.3</v>
      </c>
      <c r="I55" s="279">
        <f>I56+I57</f>
        <v>437.2</v>
      </c>
      <c r="J55" s="73">
        <f>K55+L55</f>
        <v>14572.5</v>
      </c>
      <c r="K55" s="278">
        <f>K56+K57</f>
        <v>14135.3</v>
      </c>
      <c r="L55" s="279">
        <f>L56+L57</f>
        <v>437.2</v>
      </c>
      <c r="M55" s="73">
        <f t="shared" si="6"/>
        <v>14572.5</v>
      </c>
      <c r="N55" s="278">
        <f>N56+N57</f>
        <v>14135.3</v>
      </c>
      <c r="O55" s="279">
        <f>O56+O57</f>
        <v>437.2</v>
      </c>
      <c r="P55" s="130"/>
      <c r="Q55" s="130"/>
    </row>
    <row r="56" spans="1:17" s="20" customFormat="1" ht="25.5">
      <c r="A56" s="334" t="s">
        <v>148</v>
      </c>
      <c r="B56" s="73"/>
      <c r="C56" s="116"/>
      <c r="D56" s="92"/>
      <c r="E56" s="92"/>
      <c r="F56" s="92"/>
      <c r="G56" s="73">
        <f>H56+I56</f>
        <v>8386.9</v>
      </c>
      <c r="H56" s="384">
        <v>8135.3</v>
      </c>
      <c r="I56" s="279">
        <v>251.6</v>
      </c>
      <c r="J56" s="73">
        <f>K56+L56</f>
        <v>8386.9</v>
      </c>
      <c r="K56" s="120">
        <v>8135.3</v>
      </c>
      <c r="L56" s="73">
        <v>251.6</v>
      </c>
      <c r="M56" s="73">
        <f t="shared" si="6"/>
        <v>8386.9</v>
      </c>
      <c r="N56" s="120">
        <v>8135.3</v>
      </c>
      <c r="O56" s="73">
        <v>251.6</v>
      </c>
      <c r="P56" s="73"/>
      <c r="Q56" s="73"/>
    </row>
    <row r="57" spans="1:17" s="20" customFormat="1" ht="25.5">
      <c r="A57" s="334" t="s">
        <v>149</v>
      </c>
      <c r="B57" s="73"/>
      <c r="C57" s="116"/>
      <c r="D57" s="92"/>
      <c r="E57" s="92"/>
      <c r="F57" s="92"/>
      <c r="G57" s="73">
        <f>H57+I57</f>
        <v>6185.6</v>
      </c>
      <c r="H57" s="278">
        <v>6000</v>
      </c>
      <c r="I57" s="279">
        <v>185.6</v>
      </c>
      <c r="J57" s="73">
        <f>K57+L57</f>
        <v>6185.6</v>
      </c>
      <c r="K57" s="278">
        <v>6000</v>
      </c>
      <c r="L57" s="279">
        <v>185.6</v>
      </c>
      <c r="M57" s="73">
        <f t="shared" si="6"/>
        <v>6185.6</v>
      </c>
      <c r="N57" s="278">
        <v>6000</v>
      </c>
      <c r="O57" s="279">
        <v>185.6</v>
      </c>
      <c r="P57" s="73"/>
      <c r="Q57" s="73"/>
    </row>
    <row r="58" spans="1:17" s="502" customFormat="1" ht="12.75">
      <c r="A58" s="503" t="s">
        <v>294</v>
      </c>
      <c r="B58" s="117" t="s">
        <v>359</v>
      </c>
      <c r="C58" s="123" t="s">
        <v>325</v>
      </c>
      <c r="D58" s="124" t="s">
        <v>360</v>
      </c>
      <c r="E58" s="124" t="s">
        <v>353</v>
      </c>
      <c r="F58" s="124" t="s">
        <v>335</v>
      </c>
      <c r="G58" s="117">
        <f>SUM(H58+I58)</f>
        <v>1427.8</v>
      </c>
      <c r="H58" s="118">
        <f>H59</f>
        <v>1385</v>
      </c>
      <c r="I58" s="117">
        <f>I59</f>
        <v>42.8</v>
      </c>
      <c r="J58" s="117">
        <f>K58+L58</f>
        <v>400</v>
      </c>
      <c r="K58" s="118">
        <f>K59</f>
        <v>387.6</v>
      </c>
      <c r="L58" s="117">
        <f>L59</f>
        <v>12.4</v>
      </c>
      <c r="M58" s="117">
        <f>SUM(N58+O58)</f>
        <v>400</v>
      </c>
      <c r="N58" s="118">
        <f>N59</f>
        <v>387.6</v>
      </c>
      <c r="O58" s="117">
        <f>O59</f>
        <v>12.4</v>
      </c>
      <c r="P58" s="117">
        <f>K58/H58*100</f>
        <v>27.985559566787003</v>
      </c>
      <c r="Q58" s="117">
        <f>N58/K58*100</f>
        <v>100</v>
      </c>
    </row>
    <row r="59" spans="1:17" s="20" customFormat="1" ht="38.25">
      <c r="A59" s="334" t="s">
        <v>276</v>
      </c>
      <c r="B59" s="73"/>
      <c r="C59" s="116"/>
      <c r="D59" s="92"/>
      <c r="E59" s="92"/>
      <c r="F59" s="92"/>
      <c r="G59" s="73">
        <f>H59+I59</f>
        <v>1427.8</v>
      </c>
      <c r="H59" s="120">
        <v>1385</v>
      </c>
      <c r="I59" s="73">
        <v>42.8</v>
      </c>
      <c r="J59" s="73">
        <f>K59+L59</f>
        <v>400</v>
      </c>
      <c r="K59" s="120">
        <v>387.6</v>
      </c>
      <c r="L59" s="73">
        <v>12.4</v>
      </c>
      <c r="M59" s="73">
        <f>N59+O59</f>
        <v>400</v>
      </c>
      <c r="N59" s="120">
        <v>387.6</v>
      </c>
      <c r="O59" s="73">
        <v>12.4</v>
      </c>
      <c r="P59" s="73"/>
      <c r="Q59" s="73"/>
    </row>
    <row r="60" spans="1:17" ht="25.5">
      <c r="A60" s="204" t="s">
        <v>281</v>
      </c>
      <c r="B60" s="27" t="s">
        <v>359</v>
      </c>
      <c r="C60" s="49" t="s">
        <v>349</v>
      </c>
      <c r="D60" s="51"/>
      <c r="E60" s="50"/>
      <c r="F60" s="50"/>
      <c r="G60" s="28">
        <f>H60+I60</f>
        <v>1939.7</v>
      </c>
      <c r="H60" s="84">
        <f>H61</f>
        <v>1939.7</v>
      </c>
      <c r="I60" s="28"/>
      <c r="J60" s="28">
        <f>K60</f>
        <v>1830.3</v>
      </c>
      <c r="K60" s="84">
        <f>K61</f>
        <v>1830.3</v>
      </c>
      <c r="L60" s="28"/>
      <c r="M60" s="28">
        <f>N60</f>
        <v>1830.3</v>
      </c>
      <c r="N60" s="84">
        <f>N61</f>
        <v>1830.3</v>
      </c>
      <c r="O60" s="28"/>
      <c r="P60" s="28">
        <f>K60/H60*100</f>
        <v>94.35995256998504</v>
      </c>
      <c r="Q60" s="28">
        <f>N60/K60*100</f>
        <v>100</v>
      </c>
    </row>
    <row r="61" spans="1:17" ht="12.75">
      <c r="A61" s="62" t="s">
        <v>352</v>
      </c>
      <c r="B61" s="27" t="s">
        <v>359</v>
      </c>
      <c r="C61" s="49" t="s">
        <v>349</v>
      </c>
      <c r="D61" s="51" t="s">
        <v>350</v>
      </c>
      <c r="E61" s="50"/>
      <c r="F61" s="50"/>
      <c r="G61" s="27">
        <f>G62</f>
        <v>1939.7</v>
      </c>
      <c r="H61" s="82">
        <f>H62</f>
        <v>1939.7</v>
      </c>
      <c r="I61" s="27"/>
      <c r="J61" s="27"/>
      <c r="K61" s="82">
        <f>K62</f>
        <v>1830.3</v>
      </c>
      <c r="L61" s="27"/>
      <c r="M61" s="27"/>
      <c r="N61" s="82">
        <f>N62</f>
        <v>1830.3</v>
      </c>
      <c r="O61" s="27"/>
      <c r="P61" s="27"/>
      <c r="Q61" s="27"/>
    </row>
    <row r="62" spans="1:17" ht="12.75">
      <c r="A62" s="29" t="s">
        <v>282</v>
      </c>
      <c r="B62" s="27" t="s">
        <v>359</v>
      </c>
      <c r="C62" s="49" t="s">
        <v>349</v>
      </c>
      <c r="D62" s="51" t="s">
        <v>350</v>
      </c>
      <c r="E62" s="51" t="s">
        <v>350</v>
      </c>
      <c r="F62" s="50"/>
      <c r="G62" s="27">
        <f>G63</f>
        <v>1939.7</v>
      </c>
      <c r="H62" s="82">
        <f>H63</f>
        <v>1939.7</v>
      </c>
      <c r="I62" s="27"/>
      <c r="J62" s="27"/>
      <c r="K62" s="82">
        <f>K63</f>
        <v>1830.3</v>
      </c>
      <c r="L62" s="27"/>
      <c r="M62" s="27"/>
      <c r="N62" s="82">
        <f>N63</f>
        <v>1830.3</v>
      </c>
      <c r="O62" s="27"/>
      <c r="P62" s="27"/>
      <c r="Q62" s="27"/>
    </row>
    <row r="63" spans="1:17" ht="12.75">
      <c r="A63" s="29" t="s">
        <v>283</v>
      </c>
      <c r="B63" s="27" t="s">
        <v>359</v>
      </c>
      <c r="C63" s="49" t="s">
        <v>349</v>
      </c>
      <c r="D63" s="51" t="s">
        <v>350</v>
      </c>
      <c r="E63" s="51" t="s">
        <v>350</v>
      </c>
      <c r="F63" s="50" t="s">
        <v>37</v>
      </c>
      <c r="G63" s="27">
        <f>H63+I63</f>
        <v>1939.7</v>
      </c>
      <c r="H63" s="82">
        <f>H64</f>
        <v>1939.7</v>
      </c>
      <c r="I63" s="27"/>
      <c r="J63" s="27"/>
      <c r="K63" s="82">
        <f>K64</f>
        <v>1830.3</v>
      </c>
      <c r="L63" s="27"/>
      <c r="M63" s="27"/>
      <c r="N63" s="82">
        <f>N64</f>
        <v>1830.3</v>
      </c>
      <c r="O63" s="27"/>
      <c r="P63" s="27"/>
      <c r="Q63" s="27"/>
    </row>
    <row r="64" spans="1:17" s="90" customFormat="1" ht="38.25">
      <c r="A64" s="65" t="s">
        <v>279</v>
      </c>
      <c r="B64" s="169"/>
      <c r="C64" s="170"/>
      <c r="D64" s="169"/>
      <c r="E64" s="170"/>
      <c r="F64" s="170"/>
      <c r="G64" s="169"/>
      <c r="H64" s="166">
        <v>1939.7</v>
      </c>
      <c r="I64" s="422"/>
      <c r="J64" s="171"/>
      <c r="K64" s="166">
        <v>1830.3</v>
      </c>
      <c r="L64" s="164"/>
      <c r="M64" s="164"/>
      <c r="N64" s="166">
        <v>1830.3</v>
      </c>
      <c r="O64" s="171"/>
      <c r="P64" s="171"/>
      <c r="Q64" s="169"/>
    </row>
    <row r="65" spans="1:17" ht="38.25">
      <c r="A65" s="381" t="s">
        <v>364</v>
      </c>
      <c r="B65" s="27" t="s">
        <v>359</v>
      </c>
      <c r="C65" s="51" t="s">
        <v>365</v>
      </c>
      <c r="D65" s="27"/>
      <c r="E65" s="50"/>
      <c r="F65" s="50"/>
      <c r="G65" s="28">
        <f aca="true" t="shared" si="7" ref="G65:H67">SUM(G66)</f>
        <v>354</v>
      </c>
      <c r="H65" s="84">
        <f t="shared" si="7"/>
        <v>354</v>
      </c>
      <c r="I65" s="27"/>
      <c r="J65" s="28">
        <f aca="true" t="shared" si="8" ref="J65:K67">SUM(J66)</f>
        <v>354</v>
      </c>
      <c r="K65" s="84">
        <f t="shared" si="8"/>
        <v>354</v>
      </c>
      <c r="L65" s="27"/>
      <c r="M65" s="28">
        <f aca="true" t="shared" si="9" ref="M65:N67">SUM(M66)</f>
        <v>354</v>
      </c>
      <c r="N65" s="84">
        <f t="shared" si="9"/>
        <v>354</v>
      </c>
      <c r="O65" s="27"/>
      <c r="P65" s="28">
        <f>K65/H65*100</f>
        <v>100</v>
      </c>
      <c r="Q65" s="28">
        <f>N65/K65*100</f>
        <v>100</v>
      </c>
    </row>
    <row r="66" spans="1:17" ht="12.75">
      <c r="A66" s="27" t="s">
        <v>367</v>
      </c>
      <c r="B66" s="27" t="s">
        <v>359</v>
      </c>
      <c r="C66" s="51" t="s">
        <v>365</v>
      </c>
      <c r="D66" s="51" t="s">
        <v>366</v>
      </c>
      <c r="E66" s="50"/>
      <c r="F66" s="50"/>
      <c r="G66" s="27">
        <f t="shared" si="7"/>
        <v>354</v>
      </c>
      <c r="H66" s="82">
        <f t="shared" si="7"/>
        <v>354</v>
      </c>
      <c r="I66" s="27"/>
      <c r="J66" s="27">
        <f t="shared" si="8"/>
        <v>354</v>
      </c>
      <c r="K66" s="82">
        <f t="shared" si="8"/>
        <v>354</v>
      </c>
      <c r="L66" s="27"/>
      <c r="M66" s="27">
        <f t="shared" si="9"/>
        <v>354</v>
      </c>
      <c r="N66" s="82">
        <f t="shared" si="9"/>
        <v>354</v>
      </c>
      <c r="O66" s="27"/>
      <c r="P66" s="27"/>
      <c r="Q66" s="27"/>
    </row>
    <row r="67" spans="1:17" ht="12.75">
      <c r="A67" s="29" t="s">
        <v>369</v>
      </c>
      <c r="B67" s="27" t="s">
        <v>359</v>
      </c>
      <c r="C67" s="51" t="s">
        <v>365</v>
      </c>
      <c r="D67" s="51" t="s">
        <v>366</v>
      </c>
      <c r="E67" s="51" t="s">
        <v>368</v>
      </c>
      <c r="F67" s="50"/>
      <c r="G67" s="27">
        <f t="shared" si="7"/>
        <v>354</v>
      </c>
      <c r="H67" s="82">
        <f t="shared" si="7"/>
        <v>354</v>
      </c>
      <c r="I67" s="27"/>
      <c r="J67" s="27">
        <f t="shared" si="8"/>
        <v>354</v>
      </c>
      <c r="K67" s="82">
        <f t="shared" si="8"/>
        <v>354</v>
      </c>
      <c r="L67" s="27"/>
      <c r="M67" s="27">
        <f t="shared" si="9"/>
        <v>354</v>
      </c>
      <c r="N67" s="82">
        <f t="shared" si="9"/>
        <v>354</v>
      </c>
      <c r="O67" s="27"/>
      <c r="P67" s="27"/>
      <c r="Q67" s="27"/>
    </row>
    <row r="68" spans="1:17" ht="12.75">
      <c r="A68" s="29" t="s">
        <v>345</v>
      </c>
      <c r="B68" s="27" t="s">
        <v>359</v>
      </c>
      <c r="C68" s="51" t="s">
        <v>365</v>
      </c>
      <c r="D68" s="51" t="s">
        <v>366</v>
      </c>
      <c r="E68" s="51" t="s">
        <v>368</v>
      </c>
      <c r="F68" s="51" t="s">
        <v>346</v>
      </c>
      <c r="G68" s="27">
        <f>SUM(H68+I68)</f>
        <v>354</v>
      </c>
      <c r="H68" s="82">
        <f>H69+H70</f>
        <v>354</v>
      </c>
      <c r="I68" s="27"/>
      <c r="J68" s="27">
        <f>SUM(K68+L68)</f>
        <v>354</v>
      </c>
      <c r="K68" s="82">
        <f>K69+K70</f>
        <v>354</v>
      </c>
      <c r="L68" s="27"/>
      <c r="M68" s="27">
        <f>SUM(N68+O68)</f>
        <v>354</v>
      </c>
      <c r="N68" s="82">
        <f>N69+N70</f>
        <v>354</v>
      </c>
      <c r="O68" s="27"/>
      <c r="P68" s="27"/>
      <c r="Q68" s="27"/>
    </row>
    <row r="69" spans="1:17" ht="51">
      <c r="A69" s="243" t="s">
        <v>277</v>
      </c>
      <c r="B69" s="27"/>
      <c r="C69" s="50"/>
      <c r="D69" s="27"/>
      <c r="E69" s="50"/>
      <c r="F69" s="50"/>
      <c r="G69" s="27"/>
      <c r="H69" s="120">
        <v>174</v>
      </c>
      <c r="I69" s="27"/>
      <c r="J69" s="73"/>
      <c r="K69" s="120">
        <v>174</v>
      </c>
      <c r="L69" s="27"/>
      <c r="M69" s="27"/>
      <c r="N69" s="120">
        <v>174</v>
      </c>
      <c r="O69" s="27"/>
      <c r="P69" s="27"/>
      <c r="Q69" s="27"/>
    </row>
    <row r="70" spans="1:17" ht="38.25">
      <c r="A70" s="243" t="s">
        <v>278</v>
      </c>
      <c r="B70" s="27"/>
      <c r="C70" s="50"/>
      <c r="D70" s="27"/>
      <c r="E70" s="50"/>
      <c r="F70" s="50"/>
      <c r="G70" s="27"/>
      <c r="H70" s="120">
        <v>180</v>
      </c>
      <c r="I70" s="27"/>
      <c r="J70" s="73"/>
      <c r="K70" s="120">
        <v>180</v>
      </c>
      <c r="L70" s="27"/>
      <c r="M70" s="27"/>
      <c r="N70" s="120">
        <v>180</v>
      </c>
      <c r="O70" s="27"/>
      <c r="P70" s="27"/>
      <c r="Q70" s="27"/>
    </row>
  </sheetData>
  <sheetProtection/>
  <mergeCells count="12">
    <mergeCell ref="E6:E8"/>
    <mergeCell ref="F6:F8"/>
    <mergeCell ref="Q6:Q8"/>
    <mergeCell ref="P6:P8"/>
    <mergeCell ref="A6:A8"/>
    <mergeCell ref="B6:B8"/>
    <mergeCell ref="C6:C8"/>
    <mergeCell ref="M6:O6"/>
    <mergeCell ref="N7:O7"/>
    <mergeCell ref="K7:L7"/>
    <mergeCell ref="H7:I7"/>
    <mergeCell ref="D6:D8"/>
  </mergeCells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J1" sqref="J1:J16384"/>
    </sheetView>
  </sheetViews>
  <sheetFormatPr defaultColWidth="9.00390625" defaultRowHeight="12.75"/>
  <cols>
    <col min="1" max="1" width="43.125" style="1" customWidth="1"/>
    <col min="2" max="2" width="9.75390625" style="1" customWidth="1"/>
    <col min="3" max="3" width="3.125" style="2" customWidth="1"/>
    <col min="4" max="4" width="3.25390625" style="1" customWidth="1"/>
    <col min="5" max="6" width="3.625" style="2" customWidth="1"/>
    <col min="7" max="7" width="8.625" style="1" customWidth="1"/>
    <col min="8" max="8" width="9.25390625" style="1" customWidth="1"/>
    <col min="9" max="9" width="6.00390625" style="70" customWidth="1"/>
    <col min="10" max="10" width="8.875" style="1" customWidth="1"/>
    <col min="11" max="11" width="9.25390625" style="1" customWidth="1"/>
    <col min="12" max="12" width="9.75390625" style="1" customWidth="1"/>
    <col min="13" max="13" width="6.875" style="70" customWidth="1"/>
    <col min="14" max="14" width="9.375" style="70" customWidth="1"/>
    <col min="15" max="15" width="9.875" style="70" customWidth="1"/>
    <col min="16" max="17" width="5.875" style="70" customWidth="1"/>
    <col min="18" max="18" width="5.00390625" style="1" customWidth="1"/>
    <col min="19" max="16384" width="9.125" style="1" customWidth="1"/>
  </cols>
  <sheetData>
    <row r="1" ht="14.25">
      <c r="H1" s="18" t="s">
        <v>31</v>
      </c>
    </row>
    <row r="2" ht="14.25">
      <c r="H2" s="18" t="s">
        <v>54</v>
      </c>
    </row>
    <row r="3" ht="14.25">
      <c r="H3" s="18" t="s">
        <v>158</v>
      </c>
    </row>
    <row r="4" spans="16:17" ht="12.75">
      <c r="P4" s="77" t="s">
        <v>32</v>
      </c>
      <c r="Q4" s="77"/>
    </row>
    <row r="5" spans="1:18" s="12" customFormat="1" ht="11.25" customHeight="1">
      <c r="A5" s="571"/>
      <c r="B5" s="574" t="s">
        <v>308</v>
      </c>
      <c r="C5" s="574" t="s">
        <v>309</v>
      </c>
      <c r="D5" s="574" t="s">
        <v>310</v>
      </c>
      <c r="E5" s="574" t="s">
        <v>311</v>
      </c>
      <c r="F5" s="574" t="s">
        <v>312</v>
      </c>
      <c r="G5" s="22"/>
      <c r="H5" s="21" t="s">
        <v>24</v>
      </c>
      <c r="I5" s="11"/>
      <c r="J5" s="583" t="s">
        <v>160</v>
      </c>
      <c r="K5" s="22"/>
      <c r="L5" s="23" t="s">
        <v>25</v>
      </c>
      <c r="M5" s="11"/>
      <c r="N5" s="577" t="s">
        <v>26</v>
      </c>
      <c r="O5" s="578"/>
      <c r="P5" s="579"/>
      <c r="Q5" s="94"/>
      <c r="R5" s="580" t="s">
        <v>363</v>
      </c>
    </row>
    <row r="6" spans="1:18" s="12" customFormat="1" ht="11.25">
      <c r="A6" s="572"/>
      <c r="B6" s="575"/>
      <c r="C6" s="575"/>
      <c r="D6" s="575"/>
      <c r="E6" s="575"/>
      <c r="F6" s="575"/>
      <c r="G6" s="24"/>
      <c r="H6" s="22" t="s">
        <v>27</v>
      </c>
      <c r="I6" s="11"/>
      <c r="J6" s="584"/>
      <c r="K6" s="24"/>
      <c r="L6" s="22" t="s">
        <v>27</v>
      </c>
      <c r="M6" s="11"/>
      <c r="N6" s="13"/>
      <c r="O6" s="10" t="s">
        <v>27</v>
      </c>
      <c r="P6" s="11"/>
      <c r="Q6" s="95"/>
      <c r="R6" s="581"/>
    </row>
    <row r="7" spans="1:18" s="12" customFormat="1" ht="42.75" customHeight="1">
      <c r="A7" s="573"/>
      <c r="B7" s="576"/>
      <c r="C7" s="576"/>
      <c r="D7" s="576"/>
      <c r="E7" s="576"/>
      <c r="F7" s="576"/>
      <c r="G7" s="26" t="s">
        <v>28</v>
      </c>
      <c r="H7" s="25" t="s">
        <v>29</v>
      </c>
      <c r="I7" s="16" t="s">
        <v>30</v>
      </c>
      <c r="J7" s="585"/>
      <c r="K7" s="26" t="s">
        <v>28</v>
      </c>
      <c r="L7" s="25" t="s">
        <v>29</v>
      </c>
      <c r="M7" s="16" t="s">
        <v>30</v>
      </c>
      <c r="N7" s="14" t="s">
        <v>28</v>
      </c>
      <c r="O7" s="15" t="s">
        <v>29</v>
      </c>
      <c r="P7" s="16" t="s">
        <v>30</v>
      </c>
      <c r="Q7" s="91" t="s">
        <v>66</v>
      </c>
      <c r="R7" s="582"/>
    </row>
    <row r="8" spans="1:18" s="9" customFormat="1" ht="14.25">
      <c r="A8" s="32" t="s">
        <v>34</v>
      </c>
      <c r="B8" s="30" t="s">
        <v>1</v>
      </c>
      <c r="C8" s="31"/>
      <c r="D8" s="30"/>
      <c r="E8" s="31"/>
      <c r="F8" s="31"/>
      <c r="G8" s="28">
        <f>H8+I8</f>
        <v>112885.70000000001</v>
      </c>
      <c r="H8" s="84">
        <f>H9+H14</f>
        <v>112730.20000000001</v>
      </c>
      <c r="I8" s="75">
        <f>I9+I14</f>
        <v>155.5</v>
      </c>
      <c r="J8" s="84">
        <f>J9+J14</f>
        <v>112730.20000000001</v>
      </c>
      <c r="K8" s="28">
        <f>L8+M8</f>
        <v>107609.79999999999</v>
      </c>
      <c r="L8" s="84">
        <f>L9+L14</f>
        <v>107454.29999999999</v>
      </c>
      <c r="M8" s="75">
        <f>M9+M14</f>
        <v>155.5</v>
      </c>
      <c r="N8" s="28">
        <f>O8+P8</f>
        <v>107609.79999999999</v>
      </c>
      <c r="O8" s="84">
        <f>O9+O14</f>
        <v>107454.29999999999</v>
      </c>
      <c r="P8" s="75">
        <f>P9+P14</f>
        <v>155.5</v>
      </c>
      <c r="Q8" s="112">
        <f>(L8/J8)*100</f>
        <v>95.31988766098168</v>
      </c>
      <c r="R8" s="27">
        <f>(O8/L8)*100</f>
        <v>100</v>
      </c>
    </row>
    <row r="9" spans="1:18" s="7" customFormat="1" ht="27">
      <c r="A9" s="63" t="s">
        <v>177</v>
      </c>
      <c r="B9" s="105" t="s">
        <v>1</v>
      </c>
      <c r="C9" s="106" t="s">
        <v>2</v>
      </c>
      <c r="D9" s="107"/>
      <c r="E9" s="108"/>
      <c r="F9" s="108"/>
      <c r="G9" s="107">
        <f aca="true" t="shared" si="0" ref="G9:I11">SUM(G10)</f>
        <v>9071.7</v>
      </c>
      <c r="H9" s="109">
        <f t="shared" si="0"/>
        <v>8916.2</v>
      </c>
      <c r="I9" s="110">
        <f t="shared" si="0"/>
        <v>155.5</v>
      </c>
      <c r="J9" s="109">
        <f aca="true" t="shared" si="1" ref="J9:M16">SUM(J10)</f>
        <v>8916.2</v>
      </c>
      <c r="K9" s="107">
        <f t="shared" si="1"/>
        <v>9071.7</v>
      </c>
      <c r="L9" s="109">
        <f t="shared" si="1"/>
        <v>8916.2</v>
      </c>
      <c r="M9" s="110">
        <f t="shared" si="1"/>
        <v>155.5</v>
      </c>
      <c r="N9" s="110">
        <f aca="true" t="shared" si="2" ref="N9:P16">SUM(N10)</f>
        <v>9071.7</v>
      </c>
      <c r="O9" s="109">
        <f t="shared" si="2"/>
        <v>8916.2</v>
      </c>
      <c r="P9" s="110">
        <f t="shared" si="2"/>
        <v>155.5</v>
      </c>
      <c r="Q9" s="96">
        <f>(L9/J9)*100</f>
        <v>100</v>
      </c>
      <c r="R9" s="27">
        <f>(O9/L9)*100</f>
        <v>100</v>
      </c>
    </row>
    <row r="10" spans="1:18" ht="12.75">
      <c r="A10" s="27" t="s">
        <v>5</v>
      </c>
      <c r="B10" s="29"/>
      <c r="C10" s="51" t="s">
        <v>2</v>
      </c>
      <c r="D10" s="51" t="s">
        <v>368</v>
      </c>
      <c r="E10" s="50"/>
      <c r="F10" s="50"/>
      <c r="G10" s="27">
        <f t="shared" si="0"/>
        <v>9071.7</v>
      </c>
      <c r="H10" s="82">
        <f t="shared" si="0"/>
        <v>8916.2</v>
      </c>
      <c r="I10" s="71">
        <f t="shared" si="0"/>
        <v>155.5</v>
      </c>
      <c r="J10" s="82">
        <f t="shared" si="1"/>
        <v>8916.2</v>
      </c>
      <c r="K10" s="27">
        <f t="shared" si="1"/>
        <v>9071.7</v>
      </c>
      <c r="L10" s="82">
        <f t="shared" si="1"/>
        <v>8916.2</v>
      </c>
      <c r="M10" s="71">
        <f t="shared" si="1"/>
        <v>155.5</v>
      </c>
      <c r="N10" s="71">
        <f t="shared" si="2"/>
        <v>9071.7</v>
      </c>
      <c r="O10" s="82">
        <f t="shared" si="2"/>
        <v>8916.2</v>
      </c>
      <c r="P10" s="71">
        <f t="shared" si="2"/>
        <v>155.5</v>
      </c>
      <c r="Q10" s="78"/>
      <c r="R10" s="64"/>
    </row>
    <row r="11" spans="1:18" ht="12.75">
      <c r="A11" s="27" t="s">
        <v>6</v>
      </c>
      <c r="B11" s="29"/>
      <c r="C11" s="51" t="s">
        <v>2</v>
      </c>
      <c r="D11" s="51" t="s">
        <v>368</v>
      </c>
      <c r="E11" s="51">
        <v>12</v>
      </c>
      <c r="F11" s="50"/>
      <c r="G11" s="27">
        <f t="shared" si="0"/>
        <v>9071.7</v>
      </c>
      <c r="H11" s="82">
        <f t="shared" si="0"/>
        <v>8916.2</v>
      </c>
      <c r="I11" s="71">
        <f t="shared" si="0"/>
        <v>155.5</v>
      </c>
      <c r="J11" s="82">
        <f t="shared" si="1"/>
        <v>8916.2</v>
      </c>
      <c r="K11" s="27">
        <f t="shared" si="1"/>
        <v>9071.7</v>
      </c>
      <c r="L11" s="82">
        <f t="shared" si="1"/>
        <v>8916.2</v>
      </c>
      <c r="M11" s="71">
        <f t="shared" si="1"/>
        <v>155.5</v>
      </c>
      <c r="N11" s="71">
        <f t="shared" si="2"/>
        <v>9071.7</v>
      </c>
      <c r="O11" s="82">
        <f t="shared" si="2"/>
        <v>8916.2</v>
      </c>
      <c r="P11" s="71">
        <f t="shared" si="2"/>
        <v>155.5</v>
      </c>
      <c r="Q11" s="78"/>
      <c r="R11" s="64"/>
    </row>
    <row r="12" spans="1:18" ht="12.75">
      <c r="A12" s="29" t="s">
        <v>334</v>
      </c>
      <c r="B12" s="29" t="s">
        <v>1</v>
      </c>
      <c r="C12" s="51" t="s">
        <v>2</v>
      </c>
      <c r="D12" s="51" t="s">
        <v>368</v>
      </c>
      <c r="E12" s="51">
        <v>12</v>
      </c>
      <c r="F12" s="51" t="s">
        <v>335</v>
      </c>
      <c r="G12" s="27">
        <f>H12+I12</f>
        <v>9071.7</v>
      </c>
      <c r="H12" s="82">
        <f>SUM(H13)</f>
        <v>8916.2</v>
      </c>
      <c r="I12" s="71">
        <f>SUM(I13)</f>
        <v>155.5</v>
      </c>
      <c r="J12" s="82">
        <f t="shared" si="1"/>
        <v>8916.2</v>
      </c>
      <c r="K12" s="27">
        <f>L12+M12</f>
        <v>9071.7</v>
      </c>
      <c r="L12" s="82">
        <f>SUM(L13)</f>
        <v>8916.2</v>
      </c>
      <c r="M12" s="71">
        <f t="shared" si="1"/>
        <v>155.5</v>
      </c>
      <c r="N12" s="27">
        <f>O12+P12</f>
        <v>9071.7</v>
      </c>
      <c r="O12" s="82">
        <f>SUM(O13)</f>
        <v>8916.2</v>
      </c>
      <c r="P12" s="71">
        <f t="shared" si="2"/>
        <v>155.5</v>
      </c>
      <c r="Q12" s="78"/>
      <c r="R12" s="64"/>
    </row>
    <row r="13" spans="1:18" ht="25.5">
      <c r="A13" s="65" t="s">
        <v>176</v>
      </c>
      <c r="B13" s="66"/>
      <c r="C13" s="67"/>
      <c r="D13" s="67"/>
      <c r="E13" s="67"/>
      <c r="F13" s="67"/>
      <c r="G13" s="68"/>
      <c r="H13" s="86">
        <v>8916.2</v>
      </c>
      <c r="I13" s="79">
        <v>155.5</v>
      </c>
      <c r="J13" s="86">
        <v>8916.2</v>
      </c>
      <c r="K13" s="69"/>
      <c r="L13" s="86">
        <v>8916.2</v>
      </c>
      <c r="M13" s="74">
        <v>155.5</v>
      </c>
      <c r="N13" s="74"/>
      <c r="O13" s="86">
        <v>8916.2</v>
      </c>
      <c r="P13" s="74">
        <v>155.5</v>
      </c>
      <c r="Q13" s="93"/>
      <c r="R13" s="27"/>
    </row>
    <row r="14" spans="1:18" s="7" customFormat="1" ht="27">
      <c r="A14" s="63" t="s">
        <v>178</v>
      </c>
      <c r="B14" s="105" t="s">
        <v>1</v>
      </c>
      <c r="C14" s="106" t="s">
        <v>179</v>
      </c>
      <c r="D14" s="107"/>
      <c r="E14" s="108"/>
      <c r="F14" s="108"/>
      <c r="G14" s="107">
        <f>G15</f>
        <v>103814.00000000001</v>
      </c>
      <c r="H14" s="109">
        <f>H15</f>
        <v>103814.00000000001</v>
      </c>
      <c r="I14" s="110">
        <f aca="true" t="shared" si="3" ref="G14:I16">SUM(I15)</f>
        <v>0</v>
      </c>
      <c r="J14" s="109">
        <f t="shared" si="1"/>
        <v>103814.00000000001</v>
      </c>
      <c r="K14" s="107">
        <f t="shared" si="1"/>
        <v>98538.09999999999</v>
      </c>
      <c r="L14" s="109">
        <f t="shared" si="1"/>
        <v>98538.09999999999</v>
      </c>
      <c r="M14" s="110">
        <f t="shared" si="1"/>
        <v>0</v>
      </c>
      <c r="N14" s="110">
        <f t="shared" si="2"/>
        <v>98538.09999999999</v>
      </c>
      <c r="O14" s="109">
        <f t="shared" si="2"/>
        <v>98538.09999999999</v>
      </c>
      <c r="P14" s="110">
        <f t="shared" si="2"/>
        <v>0</v>
      </c>
      <c r="Q14" s="112">
        <f>(L14/J14)*100</f>
        <v>94.91793014429652</v>
      </c>
      <c r="R14" s="27">
        <f>(O14/L14)*100</f>
        <v>100</v>
      </c>
    </row>
    <row r="15" spans="1:18" ht="12.75">
      <c r="A15" s="27" t="s">
        <v>5</v>
      </c>
      <c r="B15" s="29" t="s">
        <v>1</v>
      </c>
      <c r="C15" s="51" t="s">
        <v>179</v>
      </c>
      <c r="D15" s="51" t="s">
        <v>368</v>
      </c>
      <c r="E15" s="50"/>
      <c r="F15" s="50"/>
      <c r="G15" s="27">
        <f t="shared" si="3"/>
        <v>103814.00000000001</v>
      </c>
      <c r="H15" s="82">
        <f t="shared" si="3"/>
        <v>103814.00000000001</v>
      </c>
      <c r="I15" s="71">
        <f t="shared" si="3"/>
        <v>0</v>
      </c>
      <c r="J15" s="82">
        <f t="shared" si="1"/>
        <v>103814.00000000001</v>
      </c>
      <c r="K15" s="27">
        <f t="shared" si="1"/>
        <v>98538.09999999999</v>
      </c>
      <c r="L15" s="82">
        <f t="shared" si="1"/>
        <v>98538.09999999999</v>
      </c>
      <c r="M15" s="71">
        <f t="shared" si="1"/>
        <v>0</v>
      </c>
      <c r="N15" s="71">
        <f t="shared" si="2"/>
        <v>98538.09999999999</v>
      </c>
      <c r="O15" s="82">
        <f t="shared" si="2"/>
        <v>98538.09999999999</v>
      </c>
      <c r="P15" s="71">
        <f t="shared" si="2"/>
        <v>0</v>
      </c>
      <c r="Q15" s="78"/>
      <c r="R15" s="64"/>
    </row>
    <row r="16" spans="1:18" ht="12.75">
      <c r="A16" s="27" t="s">
        <v>6</v>
      </c>
      <c r="B16" s="29" t="s">
        <v>1</v>
      </c>
      <c r="C16" s="51" t="s">
        <v>179</v>
      </c>
      <c r="D16" s="51" t="s">
        <v>368</v>
      </c>
      <c r="E16" s="51">
        <v>12</v>
      </c>
      <c r="F16" s="50"/>
      <c r="G16" s="27">
        <f t="shared" si="3"/>
        <v>103814.00000000001</v>
      </c>
      <c r="H16" s="82">
        <f t="shared" si="3"/>
        <v>103814.00000000001</v>
      </c>
      <c r="I16" s="71">
        <f t="shared" si="3"/>
        <v>0</v>
      </c>
      <c r="J16" s="82">
        <f t="shared" si="1"/>
        <v>103814.00000000001</v>
      </c>
      <c r="K16" s="27">
        <f t="shared" si="1"/>
        <v>98538.09999999999</v>
      </c>
      <c r="L16" s="82">
        <f t="shared" si="1"/>
        <v>98538.09999999999</v>
      </c>
      <c r="M16" s="71">
        <f t="shared" si="1"/>
        <v>0</v>
      </c>
      <c r="N16" s="71">
        <f t="shared" si="2"/>
        <v>98538.09999999999</v>
      </c>
      <c r="O16" s="82">
        <f t="shared" si="2"/>
        <v>98538.09999999999</v>
      </c>
      <c r="P16" s="71">
        <f t="shared" si="2"/>
        <v>0</v>
      </c>
      <c r="Q16" s="78"/>
      <c r="R16" s="64"/>
    </row>
    <row r="17" spans="1:18" ht="12.75">
      <c r="A17" s="29" t="s">
        <v>58</v>
      </c>
      <c r="B17" s="29" t="s">
        <v>1</v>
      </c>
      <c r="C17" s="51" t="s">
        <v>179</v>
      </c>
      <c r="D17" s="51" t="s">
        <v>368</v>
      </c>
      <c r="E17" s="51">
        <v>12</v>
      </c>
      <c r="F17" s="51" t="s">
        <v>2</v>
      </c>
      <c r="G17" s="27">
        <f>H17+I17</f>
        <v>103814.00000000001</v>
      </c>
      <c r="H17" s="82">
        <f>H18+H19+H20+H21+H22+H23+H24</f>
        <v>103814.00000000001</v>
      </c>
      <c r="I17" s="71">
        <f>I18+I19+I20+I21+I22+I23</f>
        <v>0</v>
      </c>
      <c r="J17" s="82">
        <f>J18+J19+J20+J21+J22+J23+J24</f>
        <v>103814.00000000001</v>
      </c>
      <c r="K17" s="27">
        <f>L17+M17</f>
        <v>98538.09999999999</v>
      </c>
      <c r="L17" s="82">
        <f>L18+L19+L20+L21+L22+L23+L24</f>
        <v>98538.09999999999</v>
      </c>
      <c r="M17" s="71">
        <f>M18+M19+M20+M21+M22+M23</f>
        <v>0</v>
      </c>
      <c r="N17" s="27">
        <f>O17+P17</f>
        <v>98538.09999999999</v>
      </c>
      <c r="O17" s="82">
        <f>O18+O19+O20+O21+O22+O23+O24</f>
        <v>98538.09999999999</v>
      </c>
      <c r="P17" s="71">
        <f>P18+P19+P20+P21+P22+P23</f>
        <v>0</v>
      </c>
      <c r="Q17" s="78"/>
      <c r="R17" s="64"/>
    </row>
    <row r="18" spans="1:18" s="19" customFormat="1" ht="180.75" customHeight="1">
      <c r="A18" s="111" t="s">
        <v>180</v>
      </c>
      <c r="B18" s="66"/>
      <c r="C18" s="67"/>
      <c r="D18" s="67"/>
      <c r="E18" s="67"/>
      <c r="F18" s="67"/>
      <c r="G18" s="68"/>
      <c r="H18" s="86">
        <v>1459.5</v>
      </c>
      <c r="I18" s="74">
        <v>0</v>
      </c>
      <c r="J18" s="83">
        <f>H18</f>
        <v>1459.5</v>
      </c>
      <c r="K18" s="68"/>
      <c r="L18" s="83">
        <v>0</v>
      </c>
      <c r="M18" s="74">
        <v>0</v>
      </c>
      <c r="N18" s="74"/>
      <c r="O18" s="83">
        <v>0</v>
      </c>
      <c r="P18" s="74">
        <v>0</v>
      </c>
      <c r="Q18" s="93"/>
      <c r="R18" s="68"/>
    </row>
    <row r="19" spans="1:18" s="19" customFormat="1" ht="38.25">
      <c r="A19" s="97" t="s">
        <v>181</v>
      </c>
      <c r="B19" s="68"/>
      <c r="C19" s="98"/>
      <c r="D19" s="68"/>
      <c r="E19" s="98"/>
      <c r="F19" s="98"/>
      <c r="G19" s="68"/>
      <c r="H19" s="83">
        <v>50928.4</v>
      </c>
      <c r="I19" s="74">
        <v>0</v>
      </c>
      <c r="J19" s="83">
        <f>H19</f>
        <v>50928.4</v>
      </c>
      <c r="K19" s="68"/>
      <c r="L19" s="83">
        <v>50565.6</v>
      </c>
      <c r="M19" s="74">
        <v>0</v>
      </c>
      <c r="N19" s="74"/>
      <c r="O19" s="83">
        <f>L19</f>
        <v>50565.6</v>
      </c>
      <c r="P19" s="74">
        <v>0</v>
      </c>
      <c r="Q19" s="74"/>
      <c r="R19" s="68"/>
    </row>
    <row r="20" spans="1:18" s="19" customFormat="1" ht="38.25">
      <c r="A20" s="97" t="s">
        <v>182</v>
      </c>
      <c r="B20" s="68"/>
      <c r="C20" s="98"/>
      <c r="D20" s="68"/>
      <c r="E20" s="98"/>
      <c r="F20" s="98"/>
      <c r="G20" s="68"/>
      <c r="H20" s="83">
        <v>44040.8</v>
      </c>
      <c r="I20" s="74">
        <v>0</v>
      </c>
      <c r="J20" s="83">
        <f>H20</f>
        <v>44040.8</v>
      </c>
      <c r="K20" s="68"/>
      <c r="L20" s="83">
        <v>41265.3</v>
      </c>
      <c r="M20" s="74">
        <v>0</v>
      </c>
      <c r="N20" s="74"/>
      <c r="O20" s="83">
        <f>L20</f>
        <v>41265.3</v>
      </c>
      <c r="P20" s="74">
        <v>0</v>
      </c>
      <c r="Q20" s="74"/>
      <c r="R20" s="68"/>
    </row>
    <row r="21" spans="1:18" s="19" customFormat="1" ht="63.75">
      <c r="A21" s="97" t="s">
        <v>183</v>
      </c>
      <c r="B21" s="68"/>
      <c r="C21" s="98"/>
      <c r="D21" s="68"/>
      <c r="E21" s="98"/>
      <c r="F21" s="98"/>
      <c r="G21" s="68"/>
      <c r="H21" s="83">
        <v>320.6</v>
      </c>
      <c r="I21" s="74">
        <v>0</v>
      </c>
      <c r="J21" s="83">
        <v>320.6</v>
      </c>
      <c r="K21" s="68"/>
      <c r="L21" s="83">
        <v>262</v>
      </c>
      <c r="M21" s="74">
        <v>0</v>
      </c>
      <c r="N21" s="74"/>
      <c r="O21" s="83">
        <v>262</v>
      </c>
      <c r="P21" s="74">
        <v>0</v>
      </c>
      <c r="Q21" s="74"/>
      <c r="R21" s="68"/>
    </row>
    <row r="22" spans="1:18" s="19" customFormat="1" ht="51">
      <c r="A22" s="97" t="s">
        <v>184</v>
      </c>
      <c r="B22" s="68"/>
      <c r="C22" s="98"/>
      <c r="D22" s="68"/>
      <c r="E22" s="98"/>
      <c r="F22" s="98"/>
      <c r="G22" s="68"/>
      <c r="H22" s="83">
        <v>1045.4</v>
      </c>
      <c r="I22" s="74">
        <v>0</v>
      </c>
      <c r="J22" s="83">
        <f>H22</f>
        <v>1045.4</v>
      </c>
      <c r="K22" s="68"/>
      <c r="L22" s="83">
        <v>1041.4</v>
      </c>
      <c r="M22" s="74">
        <v>0</v>
      </c>
      <c r="N22" s="74"/>
      <c r="O22" s="83">
        <f>L22</f>
        <v>1041.4</v>
      </c>
      <c r="P22" s="74">
        <v>0</v>
      </c>
      <c r="Q22" s="74"/>
      <c r="R22" s="68"/>
    </row>
    <row r="23" spans="1:18" s="19" customFormat="1" ht="63.75">
      <c r="A23" s="97" t="s">
        <v>187</v>
      </c>
      <c r="B23" s="68"/>
      <c r="C23" s="98"/>
      <c r="D23" s="68"/>
      <c r="E23" s="98"/>
      <c r="F23" s="98"/>
      <c r="G23" s="68"/>
      <c r="H23" s="83">
        <v>3019.3</v>
      </c>
      <c r="I23" s="74">
        <v>0</v>
      </c>
      <c r="J23" s="83">
        <f>H23</f>
        <v>3019.3</v>
      </c>
      <c r="K23" s="68"/>
      <c r="L23" s="83">
        <v>2403.8</v>
      </c>
      <c r="M23" s="74">
        <v>0</v>
      </c>
      <c r="N23" s="74"/>
      <c r="O23" s="83">
        <f>L23</f>
        <v>2403.8</v>
      </c>
      <c r="P23" s="74">
        <v>0</v>
      </c>
      <c r="Q23" s="74"/>
      <c r="R23" s="68"/>
    </row>
    <row r="24" spans="1:18" s="20" customFormat="1" ht="38.25">
      <c r="A24" s="188" t="s">
        <v>290</v>
      </c>
      <c r="B24" s="73"/>
      <c r="C24" s="189"/>
      <c r="D24" s="73"/>
      <c r="E24" s="189"/>
      <c r="F24" s="189"/>
      <c r="G24" s="73"/>
      <c r="H24" s="120">
        <v>3000</v>
      </c>
      <c r="I24" s="121">
        <v>0</v>
      </c>
      <c r="J24" s="120">
        <v>3000</v>
      </c>
      <c r="K24" s="73"/>
      <c r="L24" s="120">
        <f>J24</f>
        <v>3000</v>
      </c>
      <c r="M24" s="121">
        <v>0</v>
      </c>
      <c r="N24" s="121"/>
      <c r="O24" s="120">
        <f>L24</f>
        <v>3000</v>
      </c>
      <c r="P24" s="121">
        <v>0</v>
      </c>
      <c r="Q24" s="121"/>
      <c r="R24" s="73"/>
    </row>
  </sheetData>
  <mergeCells count="9">
    <mergeCell ref="R5:R7"/>
    <mergeCell ref="D5:D7"/>
    <mergeCell ref="E5:E7"/>
    <mergeCell ref="F5:F7"/>
    <mergeCell ref="J5:J7"/>
    <mergeCell ref="A5:A7"/>
    <mergeCell ref="B5:B7"/>
    <mergeCell ref="C5:C7"/>
    <mergeCell ref="N5:P5"/>
  </mergeCells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I7" sqref="I7"/>
    </sheetView>
  </sheetViews>
  <sheetFormatPr defaultColWidth="9.00390625" defaultRowHeight="12.75"/>
  <cols>
    <col min="1" max="1" width="50.375" style="1" customWidth="1"/>
    <col min="2" max="2" width="9.125" style="1" customWidth="1"/>
    <col min="3" max="3" width="3.125" style="2" customWidth="1"/>
    <col min="4" max="4" width="3.00390625" style="1" customWidth="1"/>
    <col min="5" max="5" width="2.875" style="2" customWidth="1"/>
    <col min="6" max="6" width="3.375" style="2" customWidth="1"/>
    <col min="7" max="7" width="9.125" style="1" customWidth="1"/>
    <col min="8" max="8" width="9.375" style="1" customWidth="1"/>
    <col min="9" max="9" width="7.625" style="1" customWidth="1"/>
    <col min="10" max="11" width="7.75390625" style="1" customWidth="1"/>
    <col min="12" max="12" width="8.625" style="1" customWidth="1"/>
    <col min="13" max="13" width="9.375" style="1" customWidth="1"/>
    <col min="14" max="14" width="6.25390625" style="1" customWidth="1"/>
    <col min="15" max="15" width="7.875" style="1" customWidth="1"/>
    <col min="16" max="16" width="9.00390625" style="1" customWidth="1"/>
    <col min="17" max="17" width="9.25390625" style="1" customWidth="1"/>
    <col min="18" max="18" width="6.00390625" style="1" customWidth="1"/>
    <col min="19" max="19" width="6.875" style="1" customWidth="1"/>
    <col min="20" max="21" width="5.625" style="1" customWidth="1"/>
    <col min="22" max="16384" width="9.125" style="1" customWidth="1"/>
  </cols>
  <sheetData>
    <row r="1" spans="7:8" ht="14.25">
      <c r="G1" s="18" t="s">
        <v>31</v>
      </c>
      <c r="H1" s="18"/>
    </row>
    <row r="2" spans="7:8" ht="14.25">
      <c r="G2" s="18" t="s">
        <v>299</v>
      </c>
      <c r="H2" s="18"/>
    </row>
    <row r="3" spans="7:8" ht="14.25">
      <c r="G3" s="18" t="s">
        <v>158</v>
      </c>
      <c r="H3" s="18"/>
    </row>
    <row r="4" spans="18:19" ht="12.75">
      <c r="R4" s="81" t="s">
        <v>32</v>
      </c>
      <c r="S4" s="81"/>
    </row>
    <row r="5" spans="1:21" s="39" customFormat="1" ht="11.25" customHeight="1">
      <c r="A5" s="586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590" t="s">
        <v>28</v>
      </c>
      <c r="H5" s="598" t="s">
        <v>24</v>
      </c>
      <c r="I5" s="598"/>
      <c r="J5" s="598"/>
      <c r="K5" s="598"/>
      <c r="L5" s="592" t="s">
        <v>25</v>
      </c>
      <c r="M5" s="593"/>
      <c r="N5" s="593"/>
      <c r="O5" s="594"/>
      <c r="P5" s="600" t="s">
        <v>28</v>
      </c>
      <c r="Q5" s="598" t="s">
        <v>26</v>
      </c>
      <c r="R5" s="598"/>
      <c r="S5" s="598"/>
      <c r="T5" s="596" t="s">
        <v>66</v>
      </c>
      <c r="U5" s="595" t="s">
        <v>363</v>
      </c>
    </row>
    <row r="6" spans="1:21" s="39" customFormat="1" ht="12.75" customHeight="1">
      <c r="A6" s="587"/>
      <c r="B6" s="537"/>
      <c r="C6" s="537"/>
      <c r="D6" s="537"/>
      <c r="E6" s="537"/>
      <c r="F6" s="537"/>
      <c r="G6" s="591"/>
      <c r="H6" s="599" t="s">
        <v>27</v>
      </c>
      <c r="I6" s="599"/>
      <c r="J6" s="599"/>
      <c r="K6" s="599"/>
      <c r="L6" s="555" t="s">
        <v>28</v>
      </c>
      <c r="M6" s="599" t="s">
        <v>27</v>
      </c>
      <c r="N6" s="599"/>
      <c r="O6" s="599"/>
      <c r="P6" s="600"/>
      <c r="Q6" s="599" t="s">
        <v>27</v>
      </c>
      <c r="R6" s="599"/>
      <c r="S6" s="599"/>
      <c r="T6" s="597"/>
      <c r="U6" s="595"/>
    </row>
    <row r="7" spans="1:21" s="39" customFormat="1" ht="38.25">
      <c r="A7" s="588"/>
      <c r="B7" s="537"/>
      <c r="C7" s="537"/>
      <c r="D7" s="537"/>
      <c r="E7" s="537"/>
      <c r="F7" s="537"/>
      <c r="G7" s="591"/>
      <c r="H7" s="486" t="s">
        <v>29</v>
      </c>
      <c r="I7" s="487" t="s">
        <v>30</v>
      </c>
      <c r="J7" s="487" t="s">
        <v>36</v>
      </c>
      <c r="K7" s="487" t="s">
        <v>85</v>
      </c>
      <c r="L7" s="589"/>
      <c r="M7" s="486" t="s">
        <v>29</v>
      </c>
      <c r="N7" s="487" t="s">
        <v>30</v>
      </c>
      <c r="O7" s="487" t="s">
        <v>36</v>
      </c>
      <c r="P7" s="600"/>
      <c r="Q7" s="486" t="s">
        <v>29</v>
      </c>
      <c r="R7" s="487" t="s">
        <v>30</v>
      </c>
      <c r="S7" s="487" t="s">
        <v>36</v>
      </c>
      <c r="T7" s="597"/>
      <c r="U7" s="595"/>
    </row>
    <row r="8" spans="1:23" ht="19.5" customHeight="1">
      <c r="A8" s="9" t="s">
        <v>34</v>
      </c>
      <c r="B8" s="28" t="s">
        <v>4</v>
      </c>
      <c r="C8" s="50"/>
      <c r="D8" s="27"/>
      <c r="E8" s="50"/>
      <c r="F8" s="50"/>
      <c r="G8" s="28">
        <f>H8+I8+J8</f>
        <v>451586.00000000006</v>
      </c>
      <c r="H8" s="28">
        <f>H10+H18+H31</f>
        <v>440243.30000000005</v>
      </c>
      <c r="I8" s="28">
        <f>I10+I18+I31</f>
        <v>892.7</v>
      </c>
      <c r="J8" s="28">
        <f>J10+J18+J31</f>
        <v>10450</v>
      </c>
      <c r="K8" s="28"/>
      <c r="L8" s="28">
        <f aca="true" t="shared" si="0" ref="L8:S8">L10+L18+L31</f>
        <v>382712.5</v>
      </c>
      <c r="M8" s="28">
        <f t="shared" si="0"/>
        <v>381724.6</v>
      </c>
      <c r="N8" s="28">
        <f t="shared" si="0"/>
        <v>537.9000000000001</v>
      </c>
      <c r="O8" s="28">
        <f t="shared" si="0"/>
        <v>450</v>
      </c>
      <c r="P8" s="28">
        <f t="shared" si="0"/>
        <v>382076.89999999997</v>
      </c>
      <c r="Q8" s="28">
        <f t="shared" si="0"/>
        <v>381088.99999999994</v>
      </c>
      <c r="R8" s="28">
        <f t="shared" si="0"/>
        <v>537.9000000000001</v>
      </c>
      <c r="S8" s="28">
        <f t="shared" si="0"/>
        <v>450</v>
      </c>
      <c r="T8" s="28">
        <f>M8/H8*100</f>
        <v>86.70764552237364</v>
      </c>
      <c r="U8" s="28">
        <f>(Q8/M8)*100</f>
        <v>99.83349252314365</v>
      </c>
      <c r="W8" s="2"/>
    </row>
    <row r="9" spans="1:23" s="159" customFormat="1" ht="13.5" customHeight="1">
      <c r="A9" s="254" t="s">
        <v>195</v>
      </c>
      <c r="B9" s="156"/>
      <c r="C9" s="157"/>
      <c r="D9" s="158"/>
      <c r="E9" s="157"/>
      <c r="F9" s="157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>
        <f>Q15</f>
        <v>29017</v>
      </c>
      <c r="R9" s="156"/>
      <c r="S9" s="156">
        <f>S15</f>
        <v>0</v>
      </c>
      <c r="T9" s="156"/>
      <c r="U9" s="156"/>
      <c r="W9" s="160"/>
    </row>
    <row r="10" spans="1:21" s="7" customFormat="1" ht="27">
      <c r="A10" s="48" t="s">
        <v>22</v>
      </c>
      <c r="B10" s="28" t="s">
        <v>4</v>
      </c>
      <c r="C10" s="47" t="s">
        <v>333</v>
      </c>
      <c r="D10" s="28"/>
      <c r="E10" s="56"/>
      <c r="F10" s="56"/>
      <c r="G10" s="28">
        <f aca="true" t="shared" si="1" ref="G10:H12">SUM(G11)</f>
        <v>69226.2</v>
      </c>
      <c r="H10" s="84">
        <f t="shared" si="1"/>
        <v>59226.2</v>
      </c>
      <c r="I10" s="28">
        <f aca="true" t="shared" si="2" ref="I10:J12">I11</f>
        <v>0</v>
      </c>
      <c r="J10" s="28">
        <f t="shared" si="2"/>
        <v>10000</v>
      </c>
      <c r="K10" s="28"/>
      <c r="L10" s="28">
        <f aca="true" t="shared" si="3" ref="L10:M12">SUM(L11)</f>
        <v>39239.2</v>
      </c>
      <c r="M10" s="84">
        <f t="shared" si="3"/>
        <v>39239.2</v>
      </c>
      <c r="N10" s="28">
        <f aca="true" t="shared" si="4" ref="N10:O12">N11</f>
        <v>0</v>
      </c>
      <c r="O10" s="28">
        <f t="shared" si="4"/>
        <v>0</v>
      </c>
      <c r="P10" s="28">
        <f aca="true" t="shared" si="5" ref="P10:Q12">SUM(P11)</f>
        <v>43651.4</v>
      </c>
      <c r="Q10" s="84">
        <f t="shared" si="5"/>
        <v>43651.4</v>
      </c>
      <c r="R10" s="28">
        <f aca="true" t="shared" si="6" ref="R10:S12">R11</f>
        <v>0</v>
      </c>
      <c r="S10" s="28">
        <f t="shared" si="6"/>
        <v>0</v>
      </c>
      <c r="T10" s="27">
        <f>M10/H10*100</f>
        <v>66.25311095427361</v>
      </c>
      <c r="U10" s="28">
        <f>(Q10/M10)*100</f>
        <v>111.24436787702095</v>
      </c>
    </row>
    <row r="11" spans="1:21" ht="12.75">
      <c r="A11" s="27" t="s">
        <v>5</v>
      </c>
      <c r="B11" s="27"/>
      <c r="C11" s="51" t="s">
        <v>333</v>
      </c>
      <c r="D11" s="51" t="s">
        <v>368</v>
      </c>
      <c r="E11" s="50"/>
      <c r="F11" s="50"/>
      <c r="G11" s="27">
        <f t="shared" si="1"/>
        <v>69226.2</v>
      </c>
      <c r="H11" s="82">
        <f t="shared" si="1"/>
        <v>59226.2</v>
      </c>
      <c r="I11" s="27">
        <f t="shared" si="2"/>
        <v>0</v>
      </c>
      <c r="J11" s="27">
        <f t="shared" si="2"/>
        <v>10000</v>
      </c>
      <c r="K11" s="27"/>
      <c r="L11" s="27">
        <f t="shared" si="3"/>
        <v>39239.2</v>
      </c>
      <c r="M11" s="82">
        <f t="shared" si="3"/>
        <v>39239.2</v>
      </c>
      <c r="N11" s="27">
        <f t="shared" si="4"/>
        <v>0</v>
      </c>
      <c r="O11" s="27">
        <f t="shared" si="4"/>
        <v>0</v>
      </c>
      <c r="P11" s="27">
        <f t="shared" si="5"/>
        <v>43651.4</v>
      </c>
      <c r="Q11" s="82">
        <f t="shared" si="5"/>
        <v>43651.4</v>
      </c>
      <c r="R11" s="27">
        <f t="shared" si="6"/>
        <v>0</v>
      </c>
      <c r="S11" s="27">
        <f t="shared" si="6"/>
        <v>0</v>
      </c>
      <c r="T11" s="27"/>
      <c r="U11" s="27"/>
    </row>
    <row r="12" spans="1:21" ht="12.75">
      <c r="A12" s="29" t="s">
        <v>6</v>
      </c>
      <c r="B12" s="27"/>
      <c r="C12" s="51" t="s">
        <v>333</v>
      </c>
      <c r="D12" s="51" t="s">
        <v>368</v>
      </c>
      <c r="E12" s="51" t="s">
        <v>366</v>
      </c>
      <c r="F12" s="50"/>
      <c r="G12" s="27">
        <f t="shared" si="1"/>
        <v>69226.2</v>
      </c>
      <c r="H12" s="82">
        <f t="shared" si="1"/>
        <v>59226.2</v>
      </c>
      <c r="I12" s="27">
        <f t="shared" si="2"/>
        <v>0</v>
      </c>
      <c r="J12" s="27">
        <f t="shared" si="2"/>
        <v>10000</v>
      </c>
      <c r="K12" s="27"/>
      <c r="L12" s="27">
        <f t="shared" si="3"/>
        <v>39239.2</v>
      </c>
      <c r="M12" s="82">
        <f t="shared" si="3"/>
        <v>39239.2</v>
      </c>
      <c r="N12" s="27">
        <f t="shared" si="4"/>
        <v>0</v>
      </c>
      <c r="O12" s="27">
        <f t="shared" si="4"/>
        <v>0</v>
      </c>
      <c r="P12" s="27">
        <f t="shared" si="5"/>
        <v>43651.4</v>
      </c>
      <c r="Q12" s="82">
        <f t="shared" si="5"/>
        <v>43651.4</v>
      </c>
      <c r="R12" s="27">
        <f t="shared" si="6"/>
        <v>0</v>
      </c>
      <c r="S12" s="27">
        <f t="shared" si="6"/>
        <v>0</v>
      </c>
      <c r="T12" s="27"/>
      <c r="U12" s="27"/>
    </row>
    <row r="13" spans="1:21" ht="12.75">
      <c r="A13" s="29" t="s">
        <v>86</v>
      </c>
      <c r="B13" s="27" t="s">
        <v>4</v>
      </c>
      <c r="C13" s="51" t="s">
        <v>333</v>
      </c>
      <c r="D13" s="51" t="s">
        <v>368</v>
      </c>
      <c r="E13" s="51" t="s">
        <v>366</v>
      </c>
      <c r="F13" s="51" t="s">
        <v>87</v>
      </c>
      <c r="G13" s="27">
        <f>SUM(H13+I13+J13)</f>
        <v>69226.2</v>
      </c>
      <c r="H13" s="82">
        <f>SUM(H14+H16+H17)</f>
        <v>59226.2</v>
      </c>
      <c r="I13" s="27">
        <f>I14+I16</f>
        <v>0</v>
      </c>
      <c r="J13" s="27">
        <f>J14+J16</f>
        <v>10000</v>
      </c>
      <c r="K13" s="27"/>
      <c r="L13" s="27">
        <f>SUM(M13+N13+O13)</f>
        <v>39239.2</v>
      </c>
      <c r="M13" s="82">
        <f>SUM(M14+M16+M17)</f>
        <v>39239.2</v>
      </c>
      <c r="N13" s="27">
        <f>N14+N16</f>
        <v>0</v>
      </c>
      <c r="O13" s="27">
        <f>O14+O16</f>
        <v>0</v>
      </c>
      <c r="P13" s="27">
        <f>SUM(Q13+R13+S13)</f>
        <v>43651.4</v>
      </c>
      <c r="Q13" s="82">
        <f>SUM(Q14+Q15+Q16+Q17)</f>
        <v>43651.4</v>
      </c>
      <c r="R13" s="27">
        <f>R14+R16</f>
        <v>0</v>
      </c>
      <c r="S13" s="27">
        <f>S14+S16</f>
        <v>0</v>
      </c>
      <c r="T13" s="27"/>
      <c r="U13" s="27"/>
    </row>
    <row r="14" spans="1:21" s="101" customFormat="1" ht="24" customHeight="1">
      <c r="A14" s="501" t="s">
        <v>79</v>
      </c>
      <c r="B14" s="99"/>
      <c r="C14" s="100"/>
      <c r="D14" s="100"/>
      <c r="E14" s="100"/>
      <c r="F14" s="100"/>
      <c r="G14" s="99"/>
      <c r="H14" s="488">
        <v>19986</v>
      </c>
      <c r="I14" s="489"/>
      <c r="J14" s="489">
        <v>10000</v>
      </c>
      <c r="K14" s="489"/>
      <c r="L14" s="489"/>
      <c r="M14" s="488">
        <v>0</v>
      </c>
      <c r="N14" s="489"/>
      <c r="O14" s="489">
        <v>0</v>
      </c>
      <c r="P14" s="489"/>
      <c r="Q14" s="488">
        <v>0</v>
      </c>
      <c r="R14" s="489"/>
      <c r="S14" s="489">
        <v>0</v>
      </c>
      <c r="T14" s="27">
        <f>M14/H14*100</f>
        <v>0</v>
      </c>
      <c r="U14" s="27">
        <v>0</v>
      </c>
    </row>
    <row r="15" spans="1:21" s="155" customFormat="1" ht="12.75">
      <c r="A15" s="283" t="s">
        <v>241</v>
      </c>
      <c r="B15" s="153"/>
      <c r="C15" s="154"/>
      <c r="D15" s="154"/>
      <c r="E15" s="154"/>
      <c r="F15" s="154"/>
      <c r="G15" s="153"/>
      <c r="H15" s="490"/>
      <c r="I15" s="491"/>
      <c r="J15" s="491"/>
      <c r="K15" s="491"/>
      <c r="L15" s="491"/>
      <c r="M15" s="490"/>
      <c r="N15" s="491"/>
      <c r="O15" s="491"/>
      <c r="P15" s="491"/>
      <c r="Q15" s="490">
        <v>29017</v>
      </c>
      <c r="R15" s="491"/>
      <c r="S15" s="491">
        <v>0</v>
      </c>
      <c r="T15" s="27"/>
      <c r="U15" s="27"/>
    </row>
    <row r="16" spans="1:22" s="494" customFormat="1" ht="38.25" customHeight="1">
      <c r="A16" s="398" t="s">
        <v>80</v>
      </c>
      <c r="B16" s="492"/>
      <c r="C16" s="67"/>
      <c r="D16" s="67"/>
      <c r="E16" s="67"/>
      <c r="F16" s="67"/>
      <c r="G16" s="68"/>
      <c r="H16" s="83">
        <v>26119.2</v>
      </c>
      <c r="I16" s="68"/>
      <c r="J16" s="68">
        <v>0</v>
      </c>
      <c r="K16" s="68"/>
      <c r="L16" s="68"/>
      <c r="M16" s="83">
        <v>26119.2</v>
      </c>
      <c r="N16" s="68"/>
      <c r="O16" s="68">
        <v>0</v>
      </c>
      <c r="P16" s="68"/>
      <c r="Q16" s="83">
        <v>13244.4</v>
      </c>
      <c r="R16" s="68"/>
      <c r="S16" s="68">
        <v>0</v>
      </c>
      <c r="T16" s="27">
        <f>M16/H16*100</f>
        <v>100</v>
      </c>
      <c r="U16" s="27">
        <f>(Q16/M16)*100</f>
        <v>50.707525498483875</v>
      </c>
      <c r="V16" s="493"/>
    </row>
    <row r="17" spans="1:22" s="494" customFormat="1" ht="27.75" customHeight="1">
      <c r="A17" s="398" t="s">
        <v>81</v>
      </c>
      <c r="B17" s="492"/>
      <c r="C17" s="67"/>
      <c r="D17" s="67"/>
      <c r="E17" s="67"/>
      <c r="F17" s="67"/>
      <c r="G17" s="68"/>
      <c r="H17" s="83">
        <v>13121</v>
      </c>
      <c r="I17" s="68"/>
      <c r="J17" s="68">
        <v>0</v>
      </c>
      <c r="K17" s="68"/>
      <c r="L17" s="68"/>
      <c r="M17" s="83">
        <v>13120</v>
      </c>
      <c r="N17" s="68"/>
      <c r="O17" s="68">
        <v>0</v>
      </c>
      <c r="P17" s="68"/>
      <c r="Q17" s="83">
        <v>1390</v>
      </c>
      <c r="R17" s="68"/>
      <c r="S17" s="68">
        <v>0</v>
      </c>
      <c r="T17" s="27">
        <f>M17/H17*100</f>
        <v>99.99237862967762</v>
      </c>
      <c r="U17" s="27">
        <f>(Q17/M17)*100</f>
        <v>10.59451219512195</v>
      </c>
      <c r="V17" s="493"/>
    </row>
    <row r="18" spans="1:21" s="7" customFormat="1" ht="27">
      <c r="A18" s="48" t="s">
        <v>324</v>
      </c>
      <c r="B18" s="28" t="s">
        <v>4</v>
      </c>
      <c r="C18" s="47" t="s">
        <v>325</v>
      </c>
      <c r="D18" s="28"/>
      <c r="E18" s="56"/>
      <c r="F18" s="56"/>
      <c r="G18" s="28">
        <f aca="true" t="shared" si="7" ref="G18:J19">SUM(G19)</f>
        <v>38117.9</v>
      </c>
      <c r="H18" s="84">
        <f>SUM(H19)</f>
        <v>37827.9</v>
      </c>
      <c r="I18" s="28">
        <f t="shared" si="7"/>
        <v>290</v>
      </c>
      <c r="J18" s="28">
        <f t="shared" si="7"/>
        <v>0</v>
      </c>
      <c r="K18" s="28"/>
      <c r="L18" s="28">
        <f aca="true" t="shared" si="8" ref="L18:S18">SUM(L19)</f>
        <v>7779.099999999999</v>
      </c>
      <c r="M18" s="84">
        <f>SUM(M19)</f>
        <v>7771.9</v>
      </c>
      <c r="N18" s="28">
        <f t="shared" si="8"/>
        <v>7.2</v>
      </c>
      <c r="O18" s="28">
        <f t="shared" si="8"/>
        <v>0</v>
      </c>
      <c r="P18" s="28">
        <f t="shared" si="8"/>
        <v>7779.099999999999</v>
      </c>
      <c r="Q18" s="84">
        <f>SUM(Q19)</f>
        <v>7771.9</v>
      </c>
      <c r="R18" s="28">
        <f t="shared" si="8"/>
        <v>7.2</v>
      </c>
      <c r="S18" s="28">
        <f t="shared" si="8"/>
        <v>0</v>
      </c>
      <c r="T18" s="27">
        <f>M18/H18*100</f>
        <v>20.545417535734206</v>
      </c>
      <c r="U18" s="28">
        <f>(Q18/M18)*100</f>
        <v>100</v>
      </c>
    </row>
    <row r="19" spans="1:21" ht="12.75">
      <c r="A19" s="27" t="s">
        <v>5</v>
      </c>
      <c r="B19" s="27"/>
      <c r="C19" s="51" t="s">
        <v>325</v>
      </c>
      <c r="D19" s="51" t="s">
        <v>368</v>
      </c>
      <c r="E19" s="50"/>
      <c r="F19" s="50"/>
      <c r="G19" s="27">
        <f t="shared" si="7"/>
        <v>38117.9</v>
      </c>
      <c r="H19" s="82">
        <f>SUM(H20)</f>
        <v>37827.9</v>
      </c>
      <c r="I19" s="27">
        <f t="shared" si="7"/>
        <v>290</v>
      </c>
      <c r="J19" s="27">
        <f t="shared" si="7"/>
        <v>0</v>
      </c>
      <c r="K19" s="27"/>
      <c r="L19" s="27">
        <f>SUM(L20)</f>
        <v>7779.099999999999</v>
      </c>
      <c r="M19" s="82">
        <f>SUM(M20)</f>
        <v>7771.9</v>
      </c>
      <c r="N19" s="27">
        <f>SUM(N20)</f>
        <v>7.2</v>
      </c>
      <c r="O19" s="27">
        <f>SUM(O20)</f>
        <v>0</v>
      </c>
      <c r="P19" s="27">
        <f>SUM(P20)</f>
        <v>7779.099999999999</v>
      </c>
      <c r="Q19" s="82">
        <f>SUM(Q20)</f>
        <v>7771.9</v>
      </c>
      <c r="R19" s="27">
        <f>SUM(R20)</f>
        <v>7.2</v>
      </c>
      <c r="S19" s="27">
        <f>SUM(S20)</f>
        <v>0</v>
      </c>
      <c r="T19" s="27"/>
      <c r="U19" s="27"/>
    </row>
    <row r="20" spans="1:21" ht="12.75">
      <c r="A20" s="27" t="s">
        <v>8</v>
      </c>
      <c r="B20" s="27"/>
      <c r="C20" s="51" t="s">
        <v>325</v>
      </c>
      <c r="D20" s="51" t="s">
        <v>368</v>
      </c>
      <c r="E20" s="51" t="s">
        <v>360</v>
      </c>
      <c r="F20" s="51"/>
      <c r="G20" s="27">
        <f>H20+I20+J20</f>
        <v>38117.9</v>
      </c>
      <c r="H20" s="82">
        <f>H21+H26</f>
        <v>37827.9</v>
      </c>
      <c r="I20" s="27">
        <f>I21+I26</f>
        <v>290</v>
      </c>
      <c r="J20" s="27">
        <f>J21+J26</f>
        <v>0</v>
      </c>
      <c r="K20" s="27"/>
      <c r="L20" s="27">
        <f>M20+N20+O20</f>
        <v>7779.099999999999</v>
      </c>
      <c r="M20" s="82">
        <f>M21+M26</f>
        <v>7771.9</v>
      </c>
      <c r="N20" s="27">
        <f>N21+N26</f>
        <v>7.2</v>
      </c>
      <c r="O20" s="27">
        <f>O21+O26</f>
        <v>0</v>
      </c>
      <c r="P20" s="27">
        <f>Q20+R20+S20</f>
        <v>7779.099999999999</v>
      </c>
      <c r="Q20" s="82">
        <f>Q21+Q26</f>
        <v>7771.9</v>
      </c>
      <c r="R20" s="27">
        <f>R21+R26</f>
        <v>7.2</v>
      </c>
      <c r="S20" s="27">
        <f>S21+S26</f>
        <v>0</v>
      </c>
      <c r="T20" s="27"/>
      <c r="U20" s="27"/>
    </row>
    <row r="21" spans="1:21" ht="12.75">
      <c r="A21" s="29" t="s">
        <v>354</v>
      </c>
      <c r="B21" s="27" t="s">
        <v>4</v>
      </c>
      <c r="C21" s="51" t="s">
        <v>325</v>
      </c>
      <c r="D21" s="51" t="s">
        <v>368</v>
      </c>
      <c r="E21" s="51" t="s">
        <v>360</v>
      </c>
      <c r="F21" s="51" t="s">
        <v>355</v>
      </c>
      <c r="G21" s="27">
        <f>SUM(G22)</f>
        <v>9114.5</v>
      </c>
      <c r="H21" s="82">
        <f>SUM(H22)</f>
        <v>9114.5</v>
      </c>
      <c r="I21" s="27">
        <f>I22</f>
        <v>0</v>
      </c>
      <c r="J21" s="27">
        <f>J22</f>
        <v>0</v>
      </c>
      <c r="K21" s="27"/>
      <c r="L21" s="27">
        <f>SUM(L22)</f>
        <v>7054.4</v>
      </c>
      <c r="M21" s="82">
        <f>SUM(M22)</f>
        <v>7054.4</v>
      </c>
      <c r="N21" s="27">
        <f>N22</f>
        <v>0</v>
      </c>
      <c r="O21" s="27">
        <f>O22</f>
        <v>0</v>
      </c>
      <c r="P21" s="27">
        <f>SUM(P22)</f>
        <v>7054.4</v>
      </c>
      <c r="Q21" s="82">
        <f>SUM(Q22)</f>
        <v>7054.4</v>
      </c>
      <c r="R21" s="27">
        <f>R22</f>
        <v>0</v>
      </c>
      <c r="S21" s="27">
        <f>S22</f>
        <v>0</v>
      </c>
      <c r="T21" s="27">
        <f aca="true" t="shared" si="9" ref="T21:T26">M21/H21*100</f>
        <v>77.3975533490592</v>
      </c>
      <c r="U21" s="27">
        <f>(Q21/M21)*100</f>
        <v>100</v>
      </c>
    </row>
    <row r="22" spans="1:21" ht="12.75">
      <c r="A22" s="53" t="s">
        <v>280</v>
      </c>
      <c r="B22" s="27" t="s">
        <v>4</v>
      </c>
      <c r="C22" s="51" t="s">
        <v>325</v>
      </c>
      <c r="D22" s="51" t="s">
        <v>368</v>
      </c>
      <c r="E22" s="51" t="s">
        <v>360</v>
      </c>
      <c r="F22" s="51" t="s">
        <v>355</v>
      </c>
      <c r="G22" s="27">
        <f>H22+I22+J22</f>
        <v>9114.5</v>
      </c>
      <c r="H22" s="82">
        <f>H23+H24+H25</f>
        <v>9114.5</v>
      </c>
      <c r="I22" s="27">
        <f>I23+I24+I25</f>
        <v>0</v>
      </c>
      <c r="J22" s="27">
        <f>J23+J24+J25</f>
        <v>0</v>
      </c>
      <c r="K22" s="27"/>
      <c r="L22" s="27">
        <f>M22+N22+O22</f>
        <v>7054.4</v>
      </c>
      <c r="M22" s="82">
        <f>M23+M24+M25</f>
        <v>7054.4</v>
      </c>
      <c r="N22" s="27">
        <f>N23+N24+N25</f>
        <v>0</v>
      </c>
      <c r="O22" s="27">
        <f>O23+O24+O25</f>
        <v>0</v>
      </c>
      <c r="P22" s="27">
        <f>Q22+R22+S22</f>
        <v>7054.4</v>
      </c>
      <c r="Q22" s="82">
        <f>Q23+Q24+Q25</f>
        <v>7054.4</v>
      </c>
      <c r="R22" s="27">
        <f>R23+R24+R25</f>
        <v>0</v>
      </c>
      <c r="S22" s="27">
        <f>S23+S24+S25</f>
        <v>0</v>
      </c>
      <c r="T22" s="27">
        <f t="shared" si="9"/>
        <v>77.3975533490592</v>
      </c>
      <c r="U22" s="27">
        <f>(Q22/M22)*100</f>
        <v>100</v>
      </c>
    </row>
    <row r="23" spans="1:22" s="494" customFormat="1" ht="25.5">
      <c r="A23" s="495" t="s">
        <v>72</v>
      </c>
      <c r="B23" s="73"/>
      <c r="C23" s="92"/>
      <c r="D23" s="92"/>
      <c r="E23" s="92"/>
      <c r="F23" s="92"/>
      <c r="G23" s="27"/>
      <c r="H23" s="83">
        <v>646.9</v>
      </c>
      <c r="I23" s="68"/>
      <c r="J23" s="68"/>
      <c r="K23" s="68"/>
      <c r="L23" s="68"/>
      <c r="M23" s="83">
        <v>646.9</v>
      </c>
      <c r="N23" s="68"/>
      <c r="O23" s="68"/>
      <c r="P23" s="68"/>
      <c r="Q23" s="83">
        <v>646.9</v>
      </c>
      <c r="R23" s="68"/>
      <c r="S23" s="68"/>
      <c r="T23" s="27">
        <f t="shared" si="9"/>
        <v>100</v>
      </c>
      <c r="U23" s="27">
        <f>(Q23/M23)*100</f>
        <v>100</v>
      </c>
      <c r="V23" s="493"/>
    </row>
    <row r="24" spans="1:22" s="494" customFormat="1" ht="12.75">
      <c r="A24" s="496" t="s">
        <v>73</v>
      </c>
      <c r="B24" s="73"/>
      <c r="C24" s="92"/>
      <c r="D24" s="92"/>
      <c r="E24" s="92"/>
      <c r="F24" s="92"/>
      <c r="G24" s="27"/>
      <c r="H24" s="83">
        <v>2060</v>
      </c>
      <c r="I24" s="68"/>
      <c r="J24" s="68"/>
      <c r="K24" s="68"/>
      <c r="L24" s="68"/>
      <c r="M24" s="83">
        <v>0</v>
      </c>
      <c r="N24" s="68"/>
      <c r="O24" s="68"/>
      <c r="P24" s="68"/>
      <c r="Q24" s="83">
        <v>0</v>
      </c>
      <c r="R24" s="68"/>
      <c r="S24" s="68"/>
      <c r="T24" s="27">
        <f t="shared" si="9"/>
        <v>0</v>
      </c>
      <c r="U24" s="27">
        <v>0</v>
      </c>
      <c r="V24" s="493"/>
    </row>
    <row r="25" spans="1:22" s="494" customFormat="1" ht="25.5">
      <c r="A25" s="496" t="s">
        <v>74</v>
      </c>
      <c r="B25" s="73"/>
      <c r="C25" s="92"/>
      <c r="D25" s="92"/>
      <c r="E25" s="92"/>
      <c r="F25" s="92"/>
      <c r="G25" s="27"/>
      <c r="H25" s="83">
        <v>6407.6</v>
      </c>
      <c r="I25" s="68"/>
      <c r="J25" s="68"/>
      <c r="K25" s="68"/>
      <c r="L25" s="68"/>
      <c r="M25" s="83">
        <f>408+5999.5</f>
        <v>6407.5</v>
      </c>
      <c r="N25" s="68"/>
      <c r="O25" s="68"/>
      <c r="P25" s="68"/>
      <c r="Q25" s="83">
        <v>6407.5</v>
      </c>
      <c r="R25" s="68"/>
      <c r="S25" s="68"/>
      <c r="T25" s="27">
        <f t="shared" si="9"/>
        <v>99.99843935326798</v>
      </c>
      <c r="U25" s="27">
        <f>(Q25/M25)*100</f>
        <v>100</v>
      </c>
      <c r="V25" s="493"/>
    </row>
    <row r="26" spans="1:21" ht="12.75">
      <c r="A26" s="29" t="s">
        <v>334</v>
      </c>
      <c r="B26" s="27" t="s">
        <v>4</v>
      </c>
      <c r="C26" s="51" t="s">
        <v>325</v>
      </c>
      <c r="D26" s="51" t="s">
        <v>368</v>
      </c>
      <c r="E26" s="51" t="s">
        <v>360</v>
      </c>
      <c r="F26" s="51" t="s">
        <v>335</v>
      </c>
      <c r="G26" s="27">
        <f>G27</f>
        <v>29003.4</v>
      </c>
      <c r="H26" s="82">
        <f>H27</f>
        <v>28713.4</v>
      </c>
      <c r="I26" s="27">
        <f>I27</f>
        <v>290</v>
      </c>
      <c r="J26" s="27">
        <f>J27</f>
        <v>0</v>
      </c>
      <c r="K26" s="27"/>
      <c r="L26" s="27">
        <f aca="true" t="shared" si="10" ref="L26:S26">L27</f>
        <v>724.7</v>
      </c>
      <c r="M26" s="82">
        <f t="shared" si="10"/>
        <v>717.5</v>
      </c>
      <c r="N26" s="27">
        <f t="shared" si="10"/>
        <v>7.2</v>
      </c>
      <c r="O26" s="27">
        <f t="shared" si="10"/>
        <v>0</v>
      </c>
      <c r="P26" s="27">
        <f t="shared" si="10"/>
        <v>724.7</v>
      </c>
      <c r="Q26" s="82">
        <f t="shared" si="10"/>
        <v>717.5</v>
      </c>
      <c r="R26" s="27">
        <f t="shared" si="10"/>
        <v>7.2</v>
      </c>
      <c r="S26" s="27">
        <f t="shared" si="10"/>
        <v>0</v>
      </c>
      <c r="T26" s="27">
        <f t="shared" si="9"/>
        <v>2.4988332973454903</v>
      </c>
      <c r="U26" s="27">
        <f>Q26/M26*100</f>
        <v>100</v>
      </c>
    </row>
    <row r="27" spans="1:21" s="80" customFormat="1" ht="12.75">
      <c r="A27" s="506" t="s">
        <v>63</v>
      </c>
      <c r="B27" s="102"/>
      <c r="C27" s="103"/>
      <c r="D27" s="103"/>
      <c r="E27" s="103"/>
      <c r="F27" s="103"/>
      <c r="G27" s="102">
        <f>H27+I27+J27</f>
        <v>29003.4</v>
      </c>
      <c r="H27" s="104">
        <f>H28+H29+H30</f>
        <v>28713.4</v>
      </c>
      <c r="I27" s="102">
        <f>I28+I29+I30</f>
        <v>290</v>
      </c>
      <c r="J27" s="102">
        <f>J28+J29+J30</f>
        <v>0</v>
      </c>
      <c r="K27" s="102"/>
      <c r="L27" s="102">
        <f>M27+N27+O27</f>
        <v>724.7</v>
      </c>
      <c r="M27" s="104">
        <f>M28+M29+M30</f>
        <v>717.5</v>
      </c>
      <c r="N27" s="102">
        <f>N28+N29+N30</f>
        <v>7.2</v>
      </c>
      <c r="O27" s="102">
        <f>O28+O29+O30</f>
        <v>0</v>
      </c>
      <c r="P27" s="102">
        <f>Q27+R27+S27</f>
        <v>724.7</v>
      </c>
      <c r="Q27" s="104">
        <f>Q28+Q29+Q30</f>
        <v>717.5</v>
      </c>
      <c r="R27" s="102">
        <f>R28+R29+R30</f>
        <v>7.2</v>
      </c>
      <c r="S27" s="102">
        <f>S28+S29+S30</f>
        <v>0</v>
      </c>
      <c r="T27" s="27"/>
      <c r="U27" s="27">
        <f>Q27/M27*100</f>
        <v>100</v>
      </c>
    </row>
    <row r="28" spans="1:21" s="19" customFormat="1" ht="25.5">
      <c r="A28" s="111" t="s">
        <v>75</v>
      </c>
      <c r="B28" s="68"/>
      <c r="C28" s="67"/>
      <c r="D28" s="67"/>
      <c r="E28" s="67"/>
      <c r="F28" s="67"/>
      <c r="G28" s="68">
        <f>H28+I28+J28</f>
        <v>724.8000000000001</v>
      </c>
      <c r="H28" s="83">
        <v>717.6</v>
      </c>
      <c r="I28" s="68">
        <v>7.2</v>
      </c>
      <c r="J28" s="68"/>
      <c r="K28" s="68"/>
      <c r="L28" s="68">
        <f>M28+N28+O28</f>
        <v>724.7</v>
      </c>
      <c r="M28" s="83">
        <v>717.5</v>
      </c>
      <c r="N28" s="68">
        <v>7.2</v>
      </c>
      <c r="O28" s="68"/>
      <c r="P28" s="68">
        <f>Q28+R28</f>
        <v>724.7</v>
      </c>
      <c r="Q28" s="83">
        <v>717.5</v>
      </c>
      <c r="R28" s="68">
        <v>7.2</v>
      </c>
      <c r="S28" s="68"/>
      <c r="T28" s="27">
        <f>M28/H28*100</f>
        <v>99.9860646599777</v>
      </c>
      <c r="U28" s="27">
        <f>Q28/M28*100</f>
        <v>100</v>
      </c>
    </row>
    <row r="29" spans="1:21" s="19" customFormat="1" ht="25.5">
      <c r="A29" s="111" t="s">
        <v>76</v>
      </c>
      <c r="B29" s="68"/>
      <c r="C29" s="67"/>
      <c r="D29" s="67"/>
      <c r="E29" s="67"/>
      <c r="F29" s="67"/>
      <c r="G29" s="68">
        <f>H29+I29+J29</f>
        <v>10000</v>
      </c>
      <c r="H29" s="83">
        <v>9900</v>
      </c>
      <c r="I29" s="68">
        <v>100</v>
      </c>
      <c r="J29" s="68"/>
      <c r="K29" s="68"/>
      <c r="L29" s="68">
        <f>M29+N29+O29</f>
        <v>0</v>
      </c>
      <c r="M29" s="83">
        <v>0</v>
      </c>
      <c r="N29" s="68">
        <v>0</v>
      </c>
      <c r="O29" s="68"/>
      <c r="P29" s="68">
        <f>Q29+R29</f>
        <v>0</v>
      </c>
      <c r="Q29" s="83">
        <v>0</v>
      </c>
      <c r="R29" s="68">
        <v>0</v>
      </c>
      <c r="S29" s="68"/>
      <c r="T29" s="27">
        <f>M29/H29*100</f>
        <v>0</v>
      </c>
      <c r="U29" s="27">
        <v>0</v>
      </c>
    </row>
    <row r="30" spans="1:21" s="19" customFormat="1" ht="12.75">
      <c r="A30" s="111" t="s">
        <v>77</v>
      </c>
      <c r="B30" s="68"/>
      <c r="C30" s="67"/>
      <c r="D30" s="67"/>
      <c r="E30" s="67"/>
      <c r="F30" s="67"/>
      <c r="G30" s="68">
        <f>H30+I30+J30</f>
        <v>18278.6</v>
      </c>
      <c r="H30" s="83">
        <v>18095.8</v>
      </c>
      <c r="I30" s="68">
        <f>182.7+0.1</f>
        <v>182.79999999999998</v>
      </c>
      <c r="J30" s="68"/>
      <c r="K30" s="68"/>
      <c r="L30" s="68">
        <f>M30+N30+O30</f>
        <v>0</v>
      </c>
      <c r="M30" s="83">
        <v>0</v>
      </c>
      <c r="N30" s="68">
        <v>0</v>
      </c>
      <c r="O30" s="68"/>
      <c r="P30" s="68">
        <f>Q30+R30</f>
        <v>0</v>
      </c>
      <c r="Q30" s="83">
        <v>0</v>
      </c>
      <c r="R30" s="68">
        <v>0</v>
      </c>
      <c r="S30" s="68"/>
      <c r="T30" s="27">
        <f>M30/H30*100</f>
        <v>0</v>
      </c>
      <c r="U30" s="27">
        <v>0</v>
      </c>
    </row>
    <row r="31" spans="1:21" ht="27">
      <c r="A31" s="48" t="s">
        <v>64</v>
      </c>
      <c r="B31" s="27" t="s">
        <v>4</v>
      </c>
      <c r="C31" s="51" t="s">
        <v>7</v>
      </c>
      <c r="D31" s="27"/>
      <c r="E31" s="50"/>
      <c r="F31" s="50"/>
      <c r="G31" s="28">
        <f>G32</f>
        <v>344241.9</v>
      </c>
      <c r="H31" s="84">
        <f>H32</f>
        <v>343189.2</v>
      </c>
      <c r="I31" s="28">
        <f>I32</f>
        <v>602.7</v>
      </c>
      <c r="J31" s="28">
        <f>J32</f>
        <v>450</v>
      </c>
      <c r="K31" s="28"/>
      <c r="L31" s="28">
        <f aca="true" t="shared" si="11" ref="L31:S31">L32</f>
        <v>335694.2</v>
      </c>
      <c r="M31" s="84">
        <f t="shared" si="11"/>
        <v>334713.5</v>
      </c>
      <c r="N31" s="28">
        <f t="shared" si="11"/>
        <v>530.7</v>
      </c>
      <c r="O31" s="28">
        <f t="shared" si="11"/>
        <v>450</v>
      </c>
      <c r="P31" s="28">
        <f t="shared" si="11"/>
        <v>330646.39999999997</v>
      </c>
      <c r="Q31" s="84">
        <f t="shared" si="11"/>
        <v>329665.69999999995</v>
      </c>
      <c r="R31" s="28">
        <f t="shared" si="11"/>
        <v>530.7</v>
      </c>
      <c r="S31" s="28">
        <f t="shared" si="11"/>
        <v>450</v>
      </c>
      <c r="T31" s="27">
        <f>M31/H31*100</f>
        <v>97.53031272545873</v>
      </c>
      <c r="U31" s="28">
        <f>(Q31/M31)*100</f>
        <v>98.49190427036852</v>
      </c>
    </row>
    <row r="32" spans="1:21" ht="12.75">
      <c r="A32" s="27" t="s">
        <v>5</v>
      </c>
      <c r="B32" s="27" t="s">
        <v>4</v>
      </c>
      <c r="C32" s="51" t="s">
        <v>7</v>
      </c>
      <c r="D32" s="51" t="s">
        <v>368</v>
      </c>
      <c r="E32" s="51"/>
      <c r="F32" s="51"/>
      <c r="G32" s="27">
        <f>H32+I32+J32</f>
        <v>344241.9</v>
      </c>
      <c r="H32" s="82">
        <f>H33+H56</f>
        <v>343189.2</v>
      </c>
      <c r="I32" s="27">
        <f>I33+I56</f>
        <v>602.7</v>
      </c>
      <c r="J32" s="27">
        <f>J33+J56</f>
        <v>450</v>
      </c>
      <c r="K32" s="27"/>
      <c r="L32" s="27">
        <f>M32+N32+O32</f>
        <v>335694.2</v>
      </c>
      <c r="M32" s="82">
        <f>M33+M56</f>
        <v>334713.5</v>
      </c>
      <c r="N32" s="27">
        <f>N33+N56</f>
        <v>530.7</v>
      </c>
      <c r="O32" s="27">
        <f>O33+O56</f>
        <v>450</v>
      </c>
      <c r="P32" s="27">
        <f>Q32+R32+S32</f>
        <v>330646.39999999997</v>
      </c>
      <c r="Q32" s="82">
        <f>Q33+Q56</f>
        <v>329665.69999999995</v>
      </c>
      <c r="R32" s="27">
        <f>R33+R56</f>
        <v>530.7</v>
      </c>
      <c r="S32" s="27">
        <f>S33+S56</f>
        <v>450</v>
      </c>
      <c r="T32" s="27"/>
      <c r="U32" s="27"/>
    </row>
    <row r="33" spans="1:21" ht="12.75">
      <c r="A33" s="27" t="s">
        <v>8</v>
      </c>
      <c r="B33" s="27" t="s">
        <v>4</v>
      </c>
      <c r="C33" s="51" t="s">
        <v>7</v>
      </c>
      <c r="D33" s="51" t="s">
        <v>368</v>
      </c>
      <c r="E33" s="51" t="s">
        <v>360</v>
      </c>
      <c r="F33" s="50"/>
      <c r="G33" s="27">
        <f>H33+I33+J33</f>
        <v>189234.7</v>
      </c>
      <c r="H33" s="82">
        <f>H34+H36+H55</f>
        <v>188632</v>
      </c>
      <c r="I33" s="27">
        <f>I34+I36+I55</f>
        <v>602.7</v>
      </c>
      <c r="J33" s="27">
        <f>J34+J36+J55</f>
        <v>0</v>
      </c>
      <c r="K33" s="27"/>
      <c r="L33" s="27">
        <f>M33+N33+O33</f>
        <v>180688.3</v>
      </c>
      <c r="M33" s="82">
        <f>M34+M36+M55</f>
        <v>180157.59999999998</v>
      </c>
      <c r="N33" s="27">
        <f>N34+N36+N55</f>
        <v>530.7</v>
      </c>
      <c r="O33" s="27">
        <f>O34+O36+O55</f>
        <v>0</v>
      </c>
      <c r="P33" s="27">
        <f>Q33+R33+S33</f>
        <v>175640.5</v>
      </c>
      <c r="Q33" s="82">
        <f>Q34+Q36+Q55</f>
        <v>175109.8</v>
      </c>
      <c r="R33" s="27">
        <f>R34+R36+R55</f>
        <v>530.7</v>
      </c>
      <c r="S33" s="27">
        <f>S34+S36+S55</f>
        <v>0</v>
      </c>
      <c r="T33" s="27"/>
      <c r="U33" s="27"/>
    </row>
    <row r="34" spans="1:21" ht="12.75">
      <c r="A34" s="29" t="s">
        <v>354</v>
      </c>
      <c r="B34" s="27" t="s">
        <v>4</v>
      </c>
      <c r="C34" s="51" t="s">
        <v>7</v>
      </c>
      <c r="D34" s="51" t="s">
        <v>368</v>
      </c>
      <c r="E34" s="51" t="s">
        <v>360</v>
      </c>
      <c r="F34" s="50" t="s">
        <v>355</v>
      </c>
      <c r="G34" s="27">
        <f>H34+I34+J34</f>
        <v>3199.5</v>
      </c>
      <c r="H34" s="82">
        <f>H35</f>
        <v>3199.5</v>
      </c>
      <c r="I34" s="27">
        <f>I35</f>
        <v>0</v>
      </c>
      <c r="J34" s="27">
        <f>J35</f>
        <v>0</v>
      </c>
      <c r="K34" s="27"/>
      <c r="L34" s="27">
        <f>M34+N34+O34</f>
        <v>2559.6</v>
      </c>
      <c r="M34" s="82">
        <f>M35</f>
        <v>2559.6</v>
      </c>
      <c r="N34" s="27">
        <f>N35</f>
        <v>0</v>
      </c>
      <c r="O34" s="27">
        <f>O35</f>
        <v>0</v>
      </c>
      <c r="P34" s="27">
        <f>Q34+R34+S34</f>
        <v>2559.6</v>
      </c>
      <c r="Q34" s="82">
        <f>Q35</f>
        <v>2559.6</v>
      </c>
      <c r="R34" s="27">
        <f>R35</f>
        <v>0</v>
      </c>
      <c r="S34" s="27">
        <f>S35</f>
        <v>0</v>
      </c>
      <c r="T34" s="27">
        <f>M34/H34*100</f>
        <v>80</v>
      </c>
      <c r="U34" s="27">
        <f>(Q34/M34)*100</f>
        <v>100</v>
      </c>
    </row>
    <row r="35" spans="1:21" ht="35.25" customHeight="1">
      <c r="A35" s="398" t="s">
        <v>78</v>
      </c>
      <c r="B35" s="68"/>
      <c r="C35" s="67"/>
      <c r="D35" s="67"/>
      <c r="E35" s="67"/>
      <c r="F35" s="67"/>
      <c r="G35" s="68"/>
      <c r="H35" s="83">
        <v>3199.5</v>
      </c>
      <c r="I35" s="68"/>
      <c r="J35" s="68"/>
      <c r="K35" s="68"/>
      <c r="L35" s="68"/>
      <c r="M35" s="83">
        <v>2559.6</v>
      </c>
      <c r="N35" s="68"/>
      <c r="O35" s="68"/>
      <c r="P35" s="68"/>
      <c r="Q35" s="83">
        <v>2559.6</v>
      </c>
      <c r="R35" s="68"/>
      <c r="S35" s="68"/>
      <c r="T35" s="27"/>
      <c r="U35" s="27"/>
    </row>
    <row r="36" spans="1:21" ht="12.75">
      <c r="A36" s="29" t="s">
        <v>334</v>
      </c>
      <c r="B36" s="27" t="s">
        <v>4</v>
      </c>
      <c r="C36" s="51" t="s">
        <v>7</v>
      </c>
      <c r="D36" s="51" t="s">
        <v>368</v>
      </c>
      <c r="E36" s="51" t="s">
        <v>360</v>
      </c>
      <c r="F36" s="51" t="s">
        <v>335</v>
      </c>
      <c r="G36" s="27">
        <f>G37</f>
        <v>60271.99999999999</v>
      </c>
      <c r="H36" s="82">
        <f>H37</f>
        <v>59669.299999999996</v>
      </c>
      <c r="I36" s="27">
        <f>I37</f>
        <v>602.7</v>
      </c>
      <c r="J36" s="27">
        <f>J37</f>
        <v>0</v>
      </c>
      <c r="K36" s="27"/>
      <c r="L36" s="27">
        <f aca="true" t="shared" si="12" ref="L36:S36">L37</f>
        <v>58123.799999999996</v>
      </c>
      <c r="M36" s="82">
        <f t="shared" si="12"/>
        <v>57593.1</v>
      </c>
      <c r="N36" s="27">
        <f t="shared" si="12"/>
        <v>530.7</v>
      </c>
      <c r="O36" s="27">
        <f t="shared" si="12"/>
        <v>0</v>
      </c>
      <c r="P36" s="27">
        <f t="shared" si="12"/>
        <v>53076</v>
      </c>
      <c r="Q36" s="82">
        <f t="shared" si="12"/>
        <v>52545.3</v>
      </c>
      <c r="R36" s="27">
        <f t="shared" si="12"/>
        <v>530.7</v>
      </c>
      <c r="S36" s="27">
        <f t="shared" si="12"/>
        <v>0</v>
      </c>
      <c r="T36" s="27">
        <f>M36/H36*100</f>
        <v>96.52048876055191</v>
      </c>
      <c r="U36" s="27">
        <f>(Q36/M36)*100</f>
        <v>91.23540840829892</v>
      </c>
    </row>
    <row r="37" spans="1:21" s="80" customFormat="1" ht="12.75">
      <c r="A37" s="506" t="s">
        <v>336</v>
      </c>
      <c r="B37" s="102"/>
      <c r="C37" s="103"/>
      <c r="D37" s="103"/>
      <c r="E37" s="103"/>
      <c r="F37" s="103"/>
      <c r="G37" s="102">
        <f>H37+I37+J37</f>
        <v>60271.99999999999</v>
      </c>
      <c r="H37" s="104">
        <f>H38</f>
        <v>59669.299999999996</v>
      </c>
      <c r="I37" s="102">
        <f>I38</f>
        <v>602.7</v>
      </c>
      <c r="J37" s="102"/>
      <c r="K37" s="102"/>
      <c r="L37" s="102">
        <f>M37+N37+O37</f>
        <v>58123.799999999996</v>
      </c>
      <c r="M37" s="104">
        <f>M38</f>
        <v>57593.1</v>
      </c>
      <c r="N37" s="102">
        <f>N38</f>
        <v>530.7</v>
      </c>
      <c r="O37" s="102"/>
      <c r="P37" s="102">
        <f>Q37+R37+S37</f>
        <v>53076</v>
      </c>
      <c r="Q37" s="104">
        <f>Q38</f>
        <v>52545.3</v>
      </c>
      <c r="R37" s="102">
        <f>R38</f>
        <v>530.7</v>
      </c>
      <c r="S37" s="102"/>
      <c r="T37" s="27"/>
      <c r="U37" s="27"/>
    </row>
    <row r="38" spans="1:21" s="19" customFormat="1" ht="12.75">
      <c r="A38" s="97" t="s">
        <v>83</v>
      </c>
      <c r="B38" s="68"/>
      <c r="C38" s="67"/>
      <c r="D38" s="67"/>
      <c r="E38" s="67"/>
      <c r="F38" s="67"/>
      <c r="G38" s="68">
        <f>H38+I38+J38+K38</f>
        <v>60271.99999999999</v>
      </c>
      <c r="H38" s="83">
        <f>SUM(H39:H54)</f>
        <v>59669.299999999996</v>
      </c>
      <c r="I38" s="68">
        <f>I39+I40+I41+I42+I43+I44+I45+I46+I47+I48+I49+I50+I51+I52+I53+I54</f>
        <v>602.7</v>
      </c>
      <c r="J38" s="68"/>
      <c r="K38" s="68"/>
      <c r="L38" s="68">
        <f>M38+N38+O38</f>
        <v>58123.799999999996</v>
      </c>
      <c r="M38" s="83">
        <f>SUM(M39:M54)</f>
        <v>57593.1</v>
      </c>
      <c r="N38" s="68">
        <f>N39+N40+N41+N42+N43+N44+N45+N46+N47+N48+N49+N50+N51+N52+N53+N54</f>
        <v>530.7</v>
      </c>
      <c r="O38" s="68"/>
      <c r="P38" s="68">
        <f>Q38+R38+S38</f>
        <v>53076</v>
      </c>
      <c r="Q38" s="83">
        <f>SUM(Q39:Q54)</f>
        <v>52545.3</v>
      </c>
      <c r="R38" s="68">
        <f>R39+R40+R41+R42+R43+R44+R45+R46+R47+R48+R49+R50+R51+R52+R53+R54</f>
        <v>530.7</v>
      </c>
      <c r="S38" s="68"/>
      <c r="T38" s="27">
        <f aca="true" t="shared" si="13" ref="T38:T54">M38/H38*100</f>
        <v>96.52048876055191</v>
      </c>
      <c r="U38" s="27">
        <f aca="true" t="shared" si="14" ref="U38:U54">(Q38/M38)*100</f>
        <v>91.23540840829892</v>
      </c>
    </row>
    <row r="39" spans="1:21" s="88" customFormat="1" ht="12.75">
      <c r="A39" s="507" t="s">
        <v>89</v>
      </c>
      <c r="B39" s="497"/>
      <c r="C39" s="498"/>
      <c r="D39" s="498"/>
      <c r="E39" s="498"/>
      <c r="F39" s="498"/>
      <c r="G39" s="68">
        <f aca="true" t="shared" si="15" ref="G39:G54">H39+I39+J39+K39</f>
        <v>3088</v>
      </c>
      <c r="H39" s="83">
        <v>3057.1</v>
      </c>
      <c r="I39" s="68">
        <v>30.9</v>
      </c>
      <c r="J39" s="68"/>
      <c r="K39" s="68"/>
      <c r="L39" s="68">
        <f aca="true" t="shared" si="16" ref="L39:L54">M39+N39+O39</f>
        <v>3088</v>
      </c>
      <c r="M39" s="83">
        <v>3057.1</v>
      </c>
      <c r="N39" s="68">
        <v>30.9</v>
      </c>
      <c r="O39" s="68"/>
      <c r="P39" s="68">
        <f aca="true" t="shared" si="17" ref="P39:P54">Q39+R39+S39</f>
        <v>3088</v>
      </c>
      <c r="Q39" s="83">
        <v>3057.1</v>
      </c>
      <c r="R39" s="68">
        <v>30.9</v>
      </c>
      <c r="S39" s="68"/>
      <c r="T39" s="27">
        <f t="shared" si="13"/>
        <v>100</v>
      </c>
      <c r="U39" s="27">
        <f t="shared" si="14"/>
        <v>100</v>
      </c>
    </row>
    <row r="40" spans="1:21" s="88" customFormat="1" ht="12.75">
      <c r="A40" s="507" t="s">
        <v>90</v>
      </c>
      <c r="B40" s="497"/>
      <c r="C40" s="498"/>
      <c r="D40" s="498"/>
      <c r="E40" s="498"/>
      <c r="F40" s="498"/>
      <c r="G40" s="68">
        <f t="shared" si="15"/>
        <v>5516</v>
      </c>
      <c r="H40" s="83">
        <v>5460.8</v>
      </c>
      <c r="I40" s="68">
        <v>55.2</v>
      </c>
      <c r="J40" s="68"/>
      <c r="K40" s="68"/>
      <c r="L40" s="68">
        <f t="shared" si="16"/>
        <v>4008.3</v>
      </c>
      <c r="M40" s="83">
        <v>4008.3</v>
      </c>
      <c r="N40" s="68">
        <v>0</v>
      </c>
      <c r="O40" s="68"/>
      <c r="P40" s="68">
        <f t="shared" si="17"/>
        <v>0</v>
      </c>
      <c r="Q40" s="83">
        <v>0</v>
      </c>
      <c r="R40" s="68">
        <v>0</v>
      </c>
      <c r="S40" s="68"/>
      <c r="T40" s="27">
        <f t="shared" si="13"/>
        <v>73.40133313800176</v>
      </c>
      <c r="U40" s="27">
        <f t="shared" si="14"/>
        <v>0</v>
      </c>
    </row>
    <row r="41" spans="1:21" s="88" customFormat="1" ht="25.5">
      <c r="A41" s="507" t="s">
        <v>91</v>
      </c>
      <c r="B41" s="497"/>
      <c r="C41" s="498"/>
      <c r="D41" s="498"/>
      <c r="E41" s="498"/>
      <c r="F41" s="498"/>
      <c r="G41" s="68">
        <f t="shared" si="15"/>
        <v>1861</v>
      </c>
      <c r="H41" s="83">
        <f>2178-335.6</f>
        <v>1842.4</v>
      </c>
      <c r="I41" s="68">
        <f>22-3.4</f>
        <v>18.6</v>
      </c>
      <c r="J41" s="68"/>
      <c r="K41" s="68"/>
      <c r="L41" s="68">
        <f t="shared" si="16"/>
        <v>1861</v>
      </c>
      <c r="M41" s="83">
        <v>1842.4</v>
      </c>
      <c r="N41" s="68">
        <v>18.6</v>
      </c>
      <c r="O41" s="68"/>
      <c r="P41" s="68">
        <f t="shared" si="17"/>
        <v>1861</v>
      </c>
      <c r="Q41" s="83">
        <v>1842.4</v>
      </c>
      <c r="R41" s="68">
        <v>18.6</v>
      </c>
      <c r="S41" s="68"/>
      <c r="T41" s="27">
        <f t="shared" si="13"/>
        <v>100</v>
      </c>
      <c r="U41" s="27">
        <f t="shared" si="14"/>
        <v>100</v>
      </c>
    </row>
    <row r="42" spans="1:21" s="88" customFormat="1" ht="12.75">
      <c r="A42" s="507" t="s">
        <v>92</v>
      </c>
      <c r="B42" s="497"/>
      <c r="C42" s="498"/>
      <c r="D42" s="498"/>
      <c r="E42" s="498"/>
      <c r="F42" s="498"/>
      <c r="G42" s="68">
        <f t="shared" si="15"/>
        <v>895</v>
      </c>
      <c r="H42" s="83">
        <f>990-103.9</f>
        <v>886.1</v>
      </c>
      <c r="I42" s="68">
        <f>10-1.1</f>
        <v>8.9</v>
      </c>
      <c r="J42" s="68"/>
      <c r="K42" s="68"/>
      <c r="L42" s="68">
        <f t="shared" si="16"/>
        <v>895</v>
      </c>
      <c r="M42" s="83">
        <v>886.1</v>
      </c>
      <c r="N42" s="68">
        <v>8.9</v>
      </c>
      <c r="O42" s="68"/>
      <c r="P42" s="68">
        <f t="shared" si="17"/>
        <v>895</v>
      </c>
      <c r="Q42" s="83">
        <v>886.1</v>
      </c>
      <c r="R42" s="68">
        <v>8.9</v>
      </c>
      <c r="S42" s="68"/>
      <c r="T42" s="27">
        <f t="shared" si="13"/>
        <v>100</v>
      </c>
      <c r="U42" s="27">
        <f t="shared" si="14"/>
        <v>100</v>
      </c>
    </row>
    <row r="43" spans="1:21" s="88" customFormat="1" ht="12.75">
      <c r="A43" s="507" t="s">
        <v>93</v>
      </c>
      <c r="B43" s="497"/>
      <c r="C43" s="498"/>
      <c r="D43" s="498"/>
      <c r="E43" s="498"/>
      <c r="F43" s="498"/>
      <c r="G43" s="68">
        <f t="shared" si="15"/>
        <v>766</v>
      </c>
      <c r="H43" s="83">
        <v>758.3</v>
      </c>
      <c r="I43" s="68">
        <v>7.7</v>
      </c>
      <c r="J43" s="68"/>
      <c r="K43" s="68"/>
      <c r="L43" s="68">
        <f t="shared" si="16"/>
        <v>766</v>
      </c>
      <c r="M43" s="83">
        <v>758.3</v>
      </c>
      <c r="N43" s="68">
        <v>7.7</v>
      </c>
      <c r="O43" s="68"/>
      <c r="P43" s="68">
        <f t="shared" si="17"/>
        <v>766</v>
      </c>
      <c r="Q43" s="83">
        <v>758.3</v>
      </c>
      <c r="R43" s="68">
        <v>7.7</v>
      </c>
      <c r="S43" s="68"/>
      <c r="T43" s="27">
        <f t="shared" si="13"/>
        <v>100</v>
      </c>
      <c r="U43" s="27">
        <f t="shared" si="14"/>
        <v>100</v>
      </c>
    </row>
    <row r="44" spans="1:21" s="88" customFormat="1" ht="25.5">
      <c r="A44" s="507" t="s">
        <v>94</v>
      </c>
      <c r="B44" s="497"/>
      <c r="C44" s="498"/>
      <c r="D44" s="498"/>
      <c r="E44" s="498"/>
      <c r="F44" s="498"/>
      <c r="G44" s="68">
        <f t="shared" si="15"/>
        <v>1689</v>
      </c>
      <c r="H44" s="83">
        <v>1672.1</v>
      </c>
      <c r="I44" s="68">
        <v>16.9</v>
      </c>
      <c r="J44" s="68"/>
      <c r="K44" s="68"/>
      <c r="L44" s="68">
        <f t="shared" si="16"/>
        <v>1689</v>
      </c>
      <c r="M44" s="83">
        <v>1672.1</v>
      </c>
      <c r="N44" s="68">
        <v>16.9</v>
      </c>
      <c r="O44" s="68"/>
      <c r="P44" s="68">
        <f t="shared" si="17"/>
        <v>1689</v>
      </c>
      <c r="Q44" s="83">
        <v>1672.1</v>
      </c>
      <c r="R44" s="68">
        <v>16.9</v>
      </c>
      <c r="S44" s="68"/>
      <c r="T44" s="27">
        <f t="shared" si="13"/>
        <v>100</v>
      </c>
      <c r="U44" s="27">
        <f t="shared" si="14"/>
        <v>100</v>
      </c>
    </row>
    <row r="45" spans="1:21" s="88" customFormat="1" ht="25.5">
      <c r="A45" s="507" t="s">
        <v>106</v>
      </c>
      <c r="B45" s="497"/>
      <c r="C45" s="498"/>
      <c r="D45" s="498"/>
      <c r="E45" s="498"/>
      <c r="F45" s="498"/>
      <c r="G45" s="68">
        <f t="shared" si="15"/>
        <v>2210</v>
      </c>
      <c r="H45" s="83">
        <v>2187.9</v>
      </c>
      <c r="I45" s="68">
        <v>22.1</v>
      </c>
      <c r="J45" s="68"/>
      <c r="K45" s="68"/>
      <c r="L45" s="68">
        <f t="shared" si="16"/>
        <v>2210</v>
      </c>
      <c r="M45" s="83">
        <v>2187.9</v>
      </c>
      <c r="N45" s="68">
        <v>22.1</v>
      </c>
      <c r="O45" s="68"/>
      <c r="P45" s="68">
        <f t="shared" si="17"/>
        <v>2210</v>
      </c>
      <c r="Q45" s="83">
        <v>2187.9</v>
      </c>
      <c r="R45" s="68">
        <v>22.1</v>
      </c>
      <c r="S45" s="68"/>
      <c r="T45" s="27">
        <f t="shared" si="13"/>
        <v>100</v>
      </c>
      <c r="U45" s="27">
        <f t="shared" si="14"/>
        <v>100</v>
      </c>
    </row>
    <row r="46" spans="1:21" s="88" customFormat="1" ht="15" customHeight="1">
      <c r="A46" s="507" t="s">
        <v>107</v>
      </c>
      <c r="B46" s="497"/>
      <c r="C46" s="498"/>
      <c r="D46" s="498"/>
      <c r="E46" s="498"/>
      <c r="F46" s="498"/>
      <c r="G46" s="68">
        <f t="shared" si="15"/>
        <v>892.5</v>
      </c>
      <c r="H46" s="83">
        <f>1039.5-155.9</f>
        <v>883.6</v>
      </c>
      <c r="I46" s="68">
        <f>10.5-1.6</f>
        <v>8.9</v>
      </c>
      <c r="J46" s="68"/>
      <c r="K46" s="68"/>
      <c r="L46" s="68">
        <f t="shared" si="16"/>
        <v>892.5</v>
      </c>
      <c r="M46" s="83">
        <v>883.6</v>
      </c>
      <c r="N46" s="68">
        <v>8.9</v>
      </c>
      <c r="O46" s="68"/>
      <c r="P46" s="68">
        <f t="shared" si="17"/>
        <v>892.5</v>
      </c>
      <c r="Q46" s="83">
        <v>883.6</v>
      </c>
      <c r="R46" s="68">
        <v>8.9</v>
      </c>
      <c r="S46" s="68"/>
      <c r="T46" s="27">
        <f t="shared" si="13"/>
        <v>100</v>
      </c>
      <c r="U46" s="27">
        <f t="shared" si="14"/>
        <v>100</v>
      </c>
    </row>
    <row r="47" spans="1:21" s="88" customFormat="1" ht="21.75" customHeight="1">
      <c r="A47" s="507" t="s">
        <v>108</v>
      </c>
      <c r="B47" s="497"/>
      <c r="C47" s="498"/>
      <c r="D47" s="498"/>
      <c r="E47" s="498"/>
      <c r="F47" s="498"/>
      <c r="G47" s="68">
        <f t="shared" si="15"/>
        <v>1050</v>
      </c>
      <c r="H47" s="83">
        <v>1039.5</v>
      </c>
      <c r="I47" s="68">
        <v>10.5</v>
      </c>
      <c r="J47" s="68"/>
      <c r="K47" s="68"/>
      <c r="L47" s="68">
        <f t="shared" si="16"/>
        <v>1039.5</v>
      </c>
      <c r="M47" s="83">
        <v>1039.5</v>
      </c>
      <c r="N47" s="68">
        <v>0</v>
      </c>
      <c r="O47" s="68"/>
      <c r="P47" s="68">
        <f t="shared" si="17"/>
        <v>0</v>
      </c>
      <c r="Q47" s="83">
        <v>0</v>
      </c>
      <c r="R47" s="68">
        <v>0</v>
      </c>
      <c r="S47" s="68"/>
      <c r="T47" s="27">
        <f t="shared" si="13"/>
        <v>100</v>
      </c>
      <c r="U47" s="27">
        <f t="shared" si="14"/>
        <v>0</v>
      </c>
    </row>
    <row r="48" spans="1:21" s="88" customFormat="1" ht="12.75">
      <c r="A48" s="507" t="s">
        <v>109</v>
      </c>
      <c r="B48" s="497"/>
      <c r="C48" s="498"/>
      <c r="D48" s="498"/>
      <c r="E48" s="498"/>
      <c r="F48" s="498"/>
      <c r="G48" s="68">
        <f t="shared" si="15"/>
        <v>2797.5</v>
      </c>
      <c r="H48" s="83">
        <f>3976.8-1207.3</f>
        <v>2769.5</v>
      </c>
      <c r="I48" s="68">
        <f>40.2-12.2</f>
        <v>28.000000000000004</v>
      </c>
      <c r="J48" s="68"/>
      <c r="K48" s="68"/>
      <c r="L48" s="68">
        <f t="shared" si="16"/>
        <v>2797.5</v>
      </c>
      <c r="M48" s="83">
        <v>2769.5</v>
      </c>
      <c r="N48" s="68">
        <v>28</v>
      </c>
      <c r="O48" s="68"/>
      <c r="P48" s="68">
        <f t="shared" si="17"/>
        <v>2797.5</v>
      </c>
      <c r="Q48" s="83">
        <v>2769.5</v>
      </c>
      <c r="R48" s="68">
        <v>28</v>
      </c>
      <c r="S48" s="68"/>
      <c r="T48" s="27">
        <f t="shared" si="13"/>
        <v>100</v>
      </c>
      <c r="U48" s="27">
        <f t="shared" si="14"/>
        <v>100</v>
      </c>
    </row>
    <row r="49" spans="1:21" s="88" customFormat="1" ht="12.75">
      <c r="A49" s="507" t="s">
        <v>131</v>
      </c>
      <c r="B49" s="497"/>
      <c r="C49" s="498"/>
      <c r="D49" s="498"/>
      <c r="E49" s="498"/>
      <c r="F49" s="498"/>
      <c r="G49" s="68">
        <f t="shared" si="15"/>
        <v>2842.5</v>
      </c>
      <c r="H49" s="83">
        <f>2871-56.9</f>
        <v>2814.1</v>
      </c>
      <c r="I49" s="68">
        <f>29-0.6</f>
        <v>28.4</v>
      </c>
      <c r="J49" s="68"/>
      <c r="K49" s="68"/>
      <c r="L49" s="68">
        <f t="shared" si="16"/>
        <v>2842.5</v>
      </c>
      <c r="M49" s="83">
        <v>2814.1</v>
      </c>
      <c r="N49" s="68">
        <v>28.4</v>
      </c>
      <c r="O49" s="68"/>
      <c r="P49" s="68">
        <f t="shared" si="17"/>
        <v>2842.5</v>
      </c>
      <c r="Q49" s="83">
        <v>2814.1</v>
      </c>
      <c r="R49" s="68">
        <v>28.4</v>
      </c>
      <c r="S49" s="68"/>
      <c r="T49" s="27">
        <f t="shared" si="13"/>
        <v>100</v>
      </c>
      <c r="U49" s="27">
        <f t="shared" si="14"/>
        <v>100</v>
      </c>
    </row>
    <row r="50" spans="1:21" s="88" customFormat="1" ht="12.75">
      <c r="A50" s="507" t="s">
        <v>110</v>
      </c>
      <c r="B50" s="497"/>
      <c r="C50" s="498"/>
      <c r="D50" s="498"/>
      <c r="E50" s="498"/>
      <c r="F50" s="498"/>
      <c r="G50" s="68">
        <f t="shared" si="15"/>
        <v>2900</v>
      </c>
      <c r="H50" s="83">
        <v>2871</v>
      </c>
      <c r="I50" s="68">
        <v>29</v>
      </c>
      <c r="J50" s="68"/>
      <c r="K50" s="68"/>
      <c r="L50" s="68">
        <f t="shared" si="16"/>
        <v>2900</v>
      </c>
      <c r="M50" s="83">
        <v>2871</v>
      </c>
      <c r="N50" s="68">
        <v>29</v>
      </c>
      <c r="O50" s="68"/>
      <c r="P50" s="68">
        <f t="shared" si="17"/>
        <v>2900</v>
      </c>
      <c r="Q50" s="83">
        <v>2871</v>
      </c>
      <c r="R50" s="68">
        <v>29</v>
      </c>
      <c r="S50" s="68"/>
      <c r="T50" s="27">
        <f t="shared" si="13"/>
        <v>100</v>
      </c>
      <c r="U50" s="27">
        <f t="shared" si="14"/>
        <v>100</v>
      </c>
    </row>
    <row r="51" spans="1:21" s="88" customFormat="1" ht="12.75">
      <c r="A51" s="507" t="s">
        <v>122</v>
      </c>
      <c r="B51" s="497"/>
      <c r="C51" s="498"/>
      <c r="D51" s="498"/>
      <c r="E51" s="498"/>
      <c r="F51" s="498"/>
      <c r="G51" s="68">
        <f t="shared" si="15"/>
        <v>2900</v>
      </c>
      <c r="H51" s="83">
        <v>2871</v>
      </c>
      <c r="I51" s="68">
        <v>29</v>
      </c>
      <c r="J51" s="68"/>
      <c r="K51" s="68"/>
      <c r="L51" s="68">
        <f t="shared" si="16"/>
        <v>2900</v>
      </c>
      <c r="M51" s="83">
        <v>2871</v>
      </c>
      <c r="N51" s="68">
        <v>29</v>
      </c>
      <c r="O51" s="68"/>
      <c r="P51" s="68">
        <f t="shared" si="17"/>
        <v>2900</v>
      </c>
      <c r="Q51" s="83">
        <v>2871</v>
      </c>
      <c r="R51" s="68">
        <v>29</v>
      </c>
      <c r="S51" s="68"/>
      <c r="T51" s="27">
        <f t="shared" si="13"/>
        <v>100</v>
      </c>
      <c r="U51" s="27">
        <f t="shared" si="14"/>
        <v>100</v>
      </c>
    </row>
    <row r="52" spans="1:21" s="114" customFormat="1" ht="25.5">
      <c r="A52" s="507" t="s">
        <v>288</v>
      </c>
      <c r="B52" s="499"/>
      <c r="C52" s="500"/>
      <c r="D52" s="500"/>
      <c r="E52" s="500"/>
      <c r="F52" s="500"/>
      <c r="G52" s="68">
        <f t="shared" si="15"/>
        <v>2020.2</v>
      </c>
      <c r="H52" s="120">
        <v>2000</v>
      </c>
      <c r="I52" s="73">
        <v>20.2</v>
      </c>
      <c r="J52" s="73"/>
      <c r="K52" s="73"/>
      <c r="L52" s="68">
        <f t="shared" si="16"/>
        <v>2020.2</v>
      </c>
      <c r="M52" s="83">
        <v>2000</v>
      </c>
      <c r="N52" s="68">
        <v>20.2</v>
      </c>
      <c r="O52" s="68"/>
      <c r="P52" s="68">
        <f t="shared" si="17"/>
        <v>2020.2</v>
      </c>
      <c r="Q52" s="83">
        <v>2000</v>
      </c>
      <c r="R52" s="68">
        <v>20.2</v>
      </c>
      <c r="S52" s="68"/>
      <c r="T52" s="27">
        <f t="shared" si="13"/>
        <v>100</v>
      </c>
      <c r="U52" s="27">
        <f t="shared" si="14"/>
        <v>100</v>
      </c>
    </row>
    <row r="53" spans="1:21" s="88" customFormat="1" ht="25.5">
      <c r="A53" s="507" t="s">
        <v>123</v>
      </c>
      <c r="B53" s="497"/>
      <c r="C53" s="498"/>
      <c r="D53" s="498"/>
      <c r="E53" s="498"/>
      <c r="F53" s="498"/>
      <c r="G53" s="68">
        <f t="shared" si="15"/>
        <v>27314.3</v>
      </c>
      <c r="H53" s="83">
        <f>12389.1+14652.1</f>
        <v>27041.2</v>
      </c>
      <c r="I53" s="68">
        <v>273.1</v>
      </c>
      <c r="J53" s="68"/>
      <c r="K53" s="68"/>
      <c r="L53" s="68">
        <f t="shared" si="16"/>
        <v>27314.3</v>
      </c>
      <c r="M53" s="83">
        <v>27041.2</v>
      </c>
      <c r="N53" s="68">
        <v>273.1</v>
      </c>
      <c r="O53" s="68"/>
      <c r="P53" s="68">
        <f t="shared" si="17"/>
        <v>27314.3</v>
      </c>
      <c r="Q53" s="83">
        <v>27041.2</v>
      </c>
      <c r="R53" s="68">
        <v>273.1</v>
      </c>
      <c r="S53" s="68"/>
      <c r="T53" s="27">
        <f t="shared" si="13"/>
        <v>100</v>
      </c>
      <c r="U53" s="27">
        <f t="shared" si="14"/>
        <v>100</v>
      </c>
    </row>
    <row r="54" spans="1:21" s="114" customFormat="1" ht="38.25">
      <c r="A54" s="508" t="s">
        <v>84</v>
      </c>
      <c r="B54" s="499"/>
      <c r="C54" s="500"/>
      <c r="D54" s="500"/>
      <c r="E54" s="500"/>
      <c r="F54" s="500"/>
      <c r="G54" s="68">
        <f t="shared" si="15"/>
        <v>1530</v>
      </c>
      <c r="H54" s="120">
        <v>1514.7</v>
      </c>
      <c r="I54" s="73">
        <v>15.3</v>
      </c>
      <c r="J54" s="73"/>
      <c r="K54" s="73"/>
      <c r="L54" s="68">
        <f t="shared" si="16"/>
        <v>900</v>
      </c>
      <c r="M54" s="83">
        <v>891</v>
      </c>
      <c r="N54" s="68">
        <v>9</v>
      </c>
      <c r="O54" s="68"/>
      <c r="P54" s="68">
        <f t="shared" si="17"/>
        <v>900</v>
      </c>
      <c r="Q54" s="83">
        <v>891</v>
      </c>
      <c r="R54" s="68">
        <v>9</v>
      </c>
      <c r="S54" s="68"/>
      <c r="T54" s="27">
        <f t="shared" si="13"/>
        <v>58.82352941176471</v>
      </c>
      <c r="U54" s="27">
        <f t="shared" si="14"/>
        <v>100</v>
      </c>
    </row>
    <row r="55" spans="1:21" ht="25.5">
      <c r="A55" s="57" t="s">
        <v>125</v>
      </c>
      <c r="B55" s="27" t="s">
        <v>4</v>
      </c>
      <c r="C55" s="51" t="s">
        <v>7</v>
      </c>
      <c r="D55" s="51" t="s">
        <v>368</v>
      </c>
      <c r="E55" s="51" t="s">
        <v>360</v>
      </c>
      <c r="F55" s="51" t="s">
        <v>88</v>
      </c>
      <c r="G55" s="27">
        <f>H55+I55+J55</f>
        <v>125763.2</v>
      </c>
      <c r="H55" s="82">
        <v>125763.2</v>
      </c>
      <c r="I55" s="27"/>
      <c r="J55" s="27"/>
      <c r="K55" s="27"/>
      <c r="L55" s="27">
        <f>M55+N55+O55</f>
        <v>120004.9</v>
      </c>
      <c r="M55" s="82">
        <v>120004.9</v>
      </c>
      <c r="N55" s="27"/>
      <c r="O55" s="27"/>
      <c r="P55" s="27">
        <f>Q55+R55+S55</f>
        <v>120004.9</v>
      </c>
      <c r="Q55" s="82">
        <v>120004.9</v>
      </c>
      <c r="R55" s="27"/>
      <c r="S55" s="27"/>
      <c r="T55" s="27">
        <f aca="true" t="shared" si="18" ref="T55:T67">M55/H55*100</f>
        <v>95.42131561537875</v>
      </c>
      <c r="U55" s="27">
        <f aca="true" t="shared" si="19" ref="U55:U67">(Q55/M55)*100</f>
        <v>100</v>
      </c>
    </row>
    <row r="56" spans="1:21" ht="12.75">
      <c r="A56" s="27" t="s">
        <v>6</v>
      </c>
      <c r="B56" s="27" t="s">
        <v>4</v>
      </c>
      <c r="C56" s="51" t="s">
        <v>7</v>
      </c>
      <c r="D56" s="51" t="s">
        <v>368</v>
      </c>
      <c r="E56" s="51" t="s">
        <v>366</v>
      </c>
      <c r="F56" s="51"/>
      <c r="G56" s="27">
        <f>H56+I56+J56</f>
        <v>155007.2</v>
      </c>
      <c r="H56" s="82">
        <f>H57+H62</f>
        <v>154557.2</v>
      </c>
      <c r="I56" s="27">
        <f>I57+I62</f>
        <v>0</v>
      </c>
      <c r="J56" s="27">
        <f>J57+J62</f>
        <v>450</v>
      </c>
      <c r="K56" s="27"/>
      <c r="L56" s="27">
        <f>M56+N56+O56</f>
        <v>155005.9</v>
      </c>
      <c r="M56" s="82">
        <f>M57+M62</f>
        <v>154555.9</v>
      </c>
      <c r="N56" s="27">
        <f>N57+N62</f>
        <v>0</v>
      </c>
      <c r="O56" s="27">
        <f>O57+O62</f>
        <v>450</v>
      </c>
      <c r="P56" s="27">
        <f>Q56+R56+S56</f>
        <v>155005.9</v>
      </c>
      <c r="Q56" s="82">
        <f>Q57+Q62</f>
        <v>154555.9</v>
      </c>
      <c r="R56" s="27">
        <f>R57+R62</f>
        <v>0</v>
      </c>
      <c r="S56" s="27">
        <f>S57+S62</f>
        <v>450</v>
      </c>
      <c r="T56" s="27">
        <f t="shared" si="18"/>
        <v>99.99915888745396</v>
      </c>
      <c r="U56" s="27">
        <f t="shared" si="19"/>
        <v>100</v>
      </c>
    </row>
    <row r="57" spans="1:21" ht="12.75">
      <c r="A57" s="27" t="s">
        <v>58</v>
      </c>
      <c r="B57" s="27" t="s">
        <v>4</v>
      </c>
      <c r="C57" s="51" t="s">
        <v>7</v>
      </c>
      <c r="D57" s="51" t="s">
        <v>368</v>
      </c>
      <c r="E57" s="51" t="s">
        <v>366</v>
      </c>
      <c r="F57" s="51" t="s">
        <v>2</v>
      </c>
      <c r="G57" s="27">
        <f>H57+I57+J57</f>
        <v>149252.1</v>
      </c>
      <c r="H57" s="82">
        <f>H58+H59+H60+H61</f>
        <v>148802.1</v>
      </c>
      <c r="I57" s="27">
        <f>I58+I59</f>
        <v>0</v>
      </c>
      <c r="J57" s="27">
        <f>J58+J59</f>
        <v>450</v>
      </c>
      <c r="K57" s="27"/>
      <c r="L57" s="27">
        <f>M57+N57+O57</f>
        <v>149252.1</v>
      </c>
      <c r="M57" s="82">
        <f>M58+M59+M60+M61</f>
        <v>148802.1</v>
      </c>
      <c r="N57" s="27">
        <f>N58+N59</f>
        <v>0</v>
      </c>
      <c r="O57" s="27">
        <f>O58+O59</f>
        <v>450</v>
      </c>
      <c r="P57" s="27">
        <f>Q57+R57+S57</f>
        <v>149252.1</v>
      </c>
      <c r="Q57" s="82">
        <f>Q58+Q59+Q60+Q61</f>
        <v>148802.1</v>
      </c>
      <c r="R57" s="27">
        <f>R58+R59</f>
        <v>0</v>
      </c>
      <c r="S57" s="27">
        <f>S58+S59</f>
        <v>450</v>
      </c>
      <c r="T57" s="27">
        <f t="shared" si="18"/>
        <v>100</v>
      </c>
      <c r="U57" s="27">
        <f t="shared" si="19"/>
        <v>100</v>
      </c>
    </row>
    <row r="58" spans="1:21" s="19" customFormat="1" ht="38.25">
      <c r="A58" s="398" t="s">
        <v>173</v>
      </c>
      <c r="B58" s="68"/>
      <c r="C58" s="67"/>
      <c r="D58" s="67"/>
      <c r="E58" s="67"/>
      <c r="F58" s="67"/>
      <c r="G58" s="68"/>
      <c r="H58" s="83">
        <v>450</v>
      </c>
      <c r="I58" s="68"/>
      <c r="J58" s="68">
        <v>450</v>
      </c>
      <c r="K58" s="68"/>
      <c r="L58" s="68"/>
      <c r="M58" s="83">
        <v>450</v>
      </c>
      <c r="N58" s="68"/>
      <c r="O58" s="68">
        <v>450</v>
      </c>
      <c r="P58" s="68"/>
      <c r="Q58" s="83">
        <f>M58</f>
        <v>450</v>
      </c>
      <c r="R58" s="68"/>
      <c r="S58" s="68">
        <v>450</v>
      </c>
      <c r="T58" s="27">
        <f t="shared" si="18"/>
        <v>100</v>
      </c>
      <c r="U58" s="27">
        <f t="shared" si="19"/>
        <v>100</v>
      </c>
    </row>
    <row r="59" spans="1:22" s="19" customFormat="1" ht="117" customHeight="1">
      <c r="A59" s="398" t="s">
        <v>174</v>
      </c>
      <c r="B59" s="68"/>
      <c r="C59" s="67"/>
      <c r="D59" s="67"/>
      <c r="E59" s="67"/>
      <c r="F59" s="67"/>
      <c r="G59" s="68"/>
      <c r="H59" s="83">
        <v>39378.4</v>
      </c>
      <c r="I59" s="68"/>
      <c r="J59" s="68"/>
      <c r="K59" s="68"/>
      <c r="L59" s="68"/>
      <c r="M59" s="83">
        <f>H59</f>
        <v>39378.4</v>
      </c>
      <c r="N59" s="68"/>
      <c r="O59" s="68"/>
      <c r="P59" s="68"/>
      <c r="Q59" s="83">
        <f>M59</f>
        <v>39378.4</v>
      </c>
      <c r="R59" s="68"/>
      <c r="S59" s="68"/>
      <c r="T59" s="27">
        <f t="shared" si="18"/>
        <v>100</v>
      </c>
      <c r="U59" s="27">
        <f t="shared" si="19"/>
        <v>100</v>
      </c>
      <c r="V59" s="70"/>
    </row>
    <row r="60" spans="1:22" s="19" customFormat="1" ht="66" customHeight="1">
      <c r="A60" s="398" t="s">
        <v>287</v>
      </c>
      <c r="B60" s="68"/>
      <c r="C60" s="67"/>
      <c r="D60" s="67"/>
      <c r="E60" s="67"/>
      <c r="F60" s="67"/>
      <c r="G60" s="68"/>
      <c r="H60" s="83">
        <v>101981.2</v>
      </c>
      <c r="I60" s="68"/>
      <c r="J60" s="68"/>
      <c r="K60" s="68"/>
      <c r="L60" s="68"/>
      <c r="M60" s="83">
        <v>101981.2</v>
      </c>
      <c r="N60" s="68"/>
      <c r="O60" s="68"/>
      <c r="P60" s="68"/>
      <c r="Q60" s="83">
        <v>101981.2</v>
      </c>
      <c r="R60" s="68"/>
      <c r="S60" s="68"/>
      <c r="T60" s="27">
        <f t="shared" si="18"/>
        <v>100</v>
      </c>
      <c r="U60" s="27">
        <f t="shared" si="19"/>
        <v>100</v>
      </c>
      <c r="V60" s="70"/>
    </row>
    <row r="61" spans="1:22" s="19" customFormat="1" ht="55.5" customHeight="1">
      <c r="A61" s="398" t="s">
        <v>289</v>
      </c>
      <c r="B61" s="68"/>
      <c r="C61" s="67"/>
      <c r="D61" s="67"/>
      <c r="E61" s="67"/>
      <c r="F61" s="67"/>
      <c r="G61" s="68"/>
      <c r="H61" s="83">
        <f>(1713474.5+5279025.5)/1000</f>
        <v>6992.5</v>
      </c>
      <c r="I61" s="68"/>
      <c r="J61" s="68"/>
      <c r="K61" s="68"/>
      <c r="L61" s="68"/>
      <c r="M61" s="83">
        <f>H61</f>
        <v>6992.5</v>
      </c>
      <c r="N61" s="68"/>
      <c r="O61" s="68"/>
      <c r="P61" s="68"/>
      <c r="Q61" s="83">
        <f>M61</f>
        <v>6992.5</v>
      </c>
      <c r="R61" s="68"/>
      <c r="S61" s="68"/>
      <c r="T61" s="27">
        <f t="shared" si="18"/>
        <v>100</v>
      </c>
      <c r="U61" s="27">
        <f t="shared" si="19"/>
        <v>100</v>
      </c>
      <c r="V61" s="70"/>
    </row>
    <row r="62" spans="1:21" ht="12.75">
      <c r="A62" s="27" t="s">
        <v>345</v>
      </c>
      <c r="B62" s="27" t="s">
        <v>4</v>
      </c>
      <c r="C62" s="51" t="s">
        <v>7</v>
      </c>
      <c r="D62" s="51" t="s">
        <v>368</v>
      </c>
      <c r="E62" s="51" t="s">
        <v>366</v>
      </c>
      <c r="F62" s="51" t="s">
        <v>346</v>
      </c>
      <c r="G62" s="27">
        <f>H62+I62+J62</f>
        <v>5755.1</v>
      </c>
      <c r="H62" s="82">
        <f>H63+H64+H65+H66+H67</f>
        <v>5755.1</v>
      </c>
      <c r="I62" s="27">
        <f>I63</f>
        <v>0</v>
      </c>
      <c r="J62" s="27">
        <f>J63</f>
        <v>0</v>
      </c>
      <c r="K62" s="27"/>
      <c r="L62" s="27">
        <f>M62+N62+O62</f>
        <v>5753.8</v>
      </c>
      <c r="M62" s="82">
        <f>M63+M64+M65+M66+M67</f>
        <v>5753.8</v>
      </c>
      <c r="N62" s="27">
        <f>N63</f>
        <v>0</v>
      </c>
      <c r="O62" s="27">
        <f>O63</f>
        <v>0</v>
      </c>
      <c r="P62" s="27">
        <f>Q62+R62+S62</f>
        <v>5753.8</v>
      </c>
      <c r="Q62" s="82">
        <f>Q63+Q64+Q65+Q66+Q67</f>
        <v>5753.8</v>
      </c>
      <c r="R62" s="27">
        <f>R63</f>
        <v>0</v>
      </c>
      <c r="S62" s="27">
        <f>S63</f>
        <v>0</v>
      </c>
      <c r="T62" s="27">
        <f t="shared" si="18"/>
        <v>99.97741133950755</v>
      </c>
      <c r="U62" s="27">
        <f t="shared" si="19"/>
        <v>100</v>
      </c>
    </row>
    <row r="63" spans="1:22" s="494" customFormat="1" ht="25.5">
      <c r="A63" s="398" t="s">
        <v>175</v>
      </c>
      <c r="B63" s="492"/>
      <c r="C63" s="67"/>
      <c r="D63" s="67"/>
      <c r="E63" s="67"/>
      <c r="F63" s="67"/>
      <c r="G63" s="68"/>
      <c r="H63" s="83">
        <v>4813</v>
      </c>
      <c r="I63" s="68"/>
      <c r="J63" s="68"/>
      <c r="K63" s="68"/>
      <c r="L63" s="68"/>
      <c r="M63" s="83">
        <f>H63</f>
        <v>4813</v>
      </c>
      <c r="N63" s="68"/>
      <c r="O63" s="68"/>
      <c r="P63" s="68"/>
      <c r="Q63" s="83">
        <v>4813</v>
      </c>
      <c r="R63" s="68"/>
      <c r="S63" s="68"/>
      <c r="T63" s="27">
        <f t="shared" si="18"/>
        <v>100</v>
      </c>
      <c r="U63" s="27">
        <f t="shared" si="19"/>
        <v>100</v>
      </c>
      <c r="V63" s="493"/>
    </row>
    <row r="64" spans="1:21" ht="25.5">
      <c r="A64" s="398" t="s">
        <v>285</v>
      </c>
      <c r="B64" s="27"/>
      <c r="C64" s="50"/>
      <c r="D64" s="27"/>
      <c r="E64" s="50"/>
      <c r="F64" s="50"/>
      <c r="G64" s="27"/>
      <c r="H64" s="120">
        <v>730</v>
      </c>
      <c r="I64" s="73"/>
      <c r="J64" s="73"/>
      <c r="K64" s="73"/>
      <c r="L64" s="73"/>
      <c r="M64" s="120">
        <v>730</v>
      </c>
      <c r="N64" s="73"/>
      <c r="O64" s="73"/>
      <c r="P64" s="73"/>
      <c r="Q64" s="120">
        <v>730</v>
      </c>
      <c r="R64" s="73"/>
      <c r="S64" s="73"/>
      <c r="T64" s="27">
        <f t="shared" si="18"/>
        <v>100</v>
      </c>
      <c r="U64" s="27">
        <f t="shared" si="19"/>
        <v>100</v>
      </c>
    </row>
    <row r="65" spans="1:21" ht="12.75" customHeight="1">
      <c r="A65" s="398" t="s">
        <v>286</v>
      </c>
      <c r="B65" s="27"/>
      <c r="C65" s="50"/>
      <c r="D65" s="27"/>
      <c r="E65" s="50"/>
      <c r="F65" s="50"/>
      <c r="G65" s="27"/>
      <c r="H65" s="120">
        <v>98</v>
      </c>
      <c r="I65" s="73"/>
      <c r="J65" s="73"/>
      <c r="K65" s="73"/>
      <c r="L65" s="73"/>
      <c r="M65" s="120">
        <v>97.8</v>
      </c>
      <c r="N65" s="73"/>
      <c r="O65" s="73"/>
      <c r="P65" s="73"/>
      <c r="Q65" s="120">
        <v>97.8</v>
      </c>
      <c r="R65" s="73"/>
      <c r="S65" s="73"/>
      <c r="T65" s="27">
        <f t="shared" si="18"/>
        <v>99.79591836734694</v>
      </c>
      <c r="U65" s="27">
        <f t="shared" si="19"/>
        <v>100</v>
      </c>
    </row>
    <row r="66" spans="1:21" s="20" customFormat="1" ht="51.75" customHeight="1">
      <c r="A66" s="334" t="s">
        <v>95</v>
      </c>
      <c r="B66" s="73"/>
      <c r="C66" s="189"/>
      <c r="D66" s="73"/>
      <c r="E66" s="189"/>
      <c r="F66" s="189"/>
      <c r="G66" s="73"/>
      <c r="H66" s="120">
        <v>92</v>
      </c>
      <c r="I66" s="73"/>
      <c r="J66" s="73"/>
      <c r="K66" s="73"/>
      <c r="L66" s="73"/>
      <c r="M66" s="120">
        <v>92</v>
      </c>
      <c r="N66" s="73"/>
      <c r="O66" s="73"/>
      <c r="P66" s="73"/>
      <c r="Q66" s="120">
        <v>92</v>
      </c>
      <c r="R66" s="73"/>
      <c r="S66" s="73"/>
      <c r="T66" s="27">
        <f t="shared" si="18"/>
        <v>100</v>
      </c>
      <c r="U66" s="27">
        <f t="shared" si="19"/>
        <v>100</v>
      </c>
    </row>
    <row r="67" spans="1:21" s="20" customFormat="1" ht="57.75" customHeight="1">
      <c r="A67" s="334" t="s">
        <v>96</v>
      </c>
      <c r="B67" s="73"/>
      <c r="C67" s="189"/>
      <c r="D67" s="73"/>
      <c r="E67" s="189"/>
      <c r="F67" s="189"/>
      <c r="G67" s="73"/>
      <c r="H67" s="120">
        <v>22.1</v>
      </c>
      <c r="I67" s="73"/>
      <c r="J67" s="73"/>
      <c r="K67" s="73"/>
      <c r="L67" s="73"/>
      <c r="M67" s="120">
        <v>21</v>
      </c>
      <c r="N67" s="73"/>
      <c r="O67" s="73"/>
      <c r="P67" s="73"/>
      <c r="Q67" s="120">
        <v>21</v>
      </c>
      <c r="R67" s="73"/>
      <c r="S67" s="73"/>
      <c r="T67" s="27">
        <f t="shared" si="18"/>
        <v>95.02262443438913</v>
      </c>
      <c r="U67" s="27">
        <f t="shared" si="19"/>
        <v>100</v>
      </c>
    </row>
  </sheetData>
  <mergeCells count="17">
    <mergeCell ref="U5:U7"/>
    <mergeCell ref="T5:T7"/>
    <mergeCell ref="H5:K5"/>
    <mergeCell ref="H6:K6"/>
    <mergeCell ref="Q5:S5"/>
    <mergeCell ref="P5:P7"/>
    <mergeCell ref="Q6:S6"/>
    <mergeCell ref="M6:O6"/>
    <mergeCell ref="A5:A7"/>
    <mergeCell ref="B5:B7"/>
    <mergeCell ref="C5:C7"/>
    <mergeCell ref="L6:L7"/>
    <mergeCell ref="G5:G7"/>
    <mergeCell ref="L5:O5"/>
    <mergeCell ref="D5:D7"/>
    <mergeCell ref="E5:E7"/>
    <mergeCell ref="F5:F7"/>
  </mergeCells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E5" sqref="E5:E7"/>
    </sheetView>
  </sheetViews>
  <sheetFormatPr defaultColWidth="9.00390625" defaultRowHeight="12.75"/>
  <cols>
    <col min="1" max="1" width="40.625" style="387" customWidth="1"/>
    <col min="2" max="2" width="9.125" style="387" customWidth="1"/>
    <col min="3" max="3" width="4.25390625" style="387" customWidth="1"/>
    <col min="4" max="5" width="3.375" style="387" customWidth="1"/>
    <col min="6" max="6" width="4.125" style="387" customWidth="1"/>
    <col min="7" max="8" width="10.625" style="387" customWidth="1"/>
    <col min="9" max="9" width="11.00390625" style="387" bestFit="1" customWidth="1"/>
    <col min="10" max="10" width="10.25390625" style="387" customWidth="1"/>
    <col min="11" max="11" width="10.125" style="387" customWidth="1"/>
    <col min="12" max="12" width="9.75390625" style="387" customWidth="1"/>
    <col min="13" max="13" width="10.125" style="387" customWidth="1"/>
    <col min="14" max="14" width="10.00390625" style="387" customWidth="1"/>
    <col min="15" max="15" width="9.625" style="387" customWidth="1"/>
    <col min="16" max="16" width="5.125" style="387" customWidth="1"/>
    <col min="17" max="17" width="5.00390625" style="387" customWidth="1"/>
    <col min="18" max="16384" width="9.125" style="387" customWidth="1"/>
  </cols>
  <sheetData>
    <row r="1" spans="1:17" ht="12.75">
      <c r="A1" s="1"/>
      <c r="B1" s="1"/>
      <c r="C1" s="2"/>
      <c r="D1" s="1"/>
      <c r="E1" s="2"/>
      <c r="F1" s="2"/>
      <c r="G1" s="1"/>
      <c r="H1" s="17" t="s">
        <v>31</v>
      </c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2"/>
      <c r="D2" s="1"/>
      <c r="E2" s="2"/>
      <c r="F2" s="2"/>
      <c r="G2" s="1"/>
      <c r="H2" s="17" t="s">
        <v>134</v>
      </c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/>
      <c r="D3" s="1"/>
      <c r="E3" s="2"/>
      <c r="F3" s="2"/>
      <c r="G3" s="1"/>
      <c r="H3" s="17" t="s">
        <v>135</v>
      </c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/>
      <c r="D4" s="1"/>
      <c r="E4" s="2"/>
      <c r="F4" s="2"/>
      <c r="G4" s="1"/>
      <c r="H4" s="17" t="s">
        <v>158</v>
      </c>
      <c r="I4" s="1"/>
      <c r="J4" s="1"/>
      <c r="K4" s="1"/>
      <c r="L4" s="1"/>
      <c r="M4" s="1"/>
      <c r="N4" s="1"/>
      <c r="O4" s="1"/>
      <c r="P4" s="1"/>
      <c r="Q4" s="1"/>
    </row>
    <row r="5" spans="1:17" ht="12.75" customHeight="1">
      <c r="A5" s="239"/>
      <c r="B5" s="536" t="s">
        <v>308</v>
      </c>
      <c r="C5" s="536" t="s">
        <v>309</v>
      </c>
      <c r="D5" s="536" t="s">
        <v>310</v>
      </c>
      <c r="E5" s="536" t="s">
        <v>311</v>
      </c>
      <c r="F5" s="536" t="s">
        <v>312</v>
      </c>
      <c r="G5" s="566" t="s">
        <v>24</v>
      </c>
      <c r="H5" s="567"/>
      <c r="I5" s="568"/>
      <c r="J5" s="566" t="s">
        <v>25</v>
      </c>
      <c r="K5" s="567"/>
      <c r="L5" s="568"/>
      <c r="M5" s="566" t="s">
        <v>26</v>
      </c>
      <c r="N5" s="567"/>
      <c r="O5" s="568"/>
      <c r="P5" s="603" t="s">
        <v>66</v>
      </c>
      <c r="Q5" s="603" t="s">
        <v>15</v>
      </c>
    </row>
    <row r="6" spans="1:17" ht="12.75">
      <c r="A6" s="240"/>
      <c r="B6" s="537"/>
      <c r="C6" s="537"/>
      <c r="D6" s="537"/>
      <c r="E6" s="537"/>
      <c r="F6" s="537"/>
      <c r="G6" s="555" t="s">
        <v>28</v>
      </c>
      <c r="H6" s="601" t="s">
        <v>141</v>
      </c>
      <c r="I6" s="602"/>
      <c r="J6" s="555" t="s">
        <v>28</v>
      </c>
      <c r="K6" s="601" t="s">
        <v>141</v>
      </c>
      <c r="L6" s="602"/>
      <c r="M6" s="555" t="s">
        <v>28</v>
      </c>
      <c r="N6" s="601" t="s">
        <v>141</v>
      </c>
      <c r="O6" s="602"/>
      <c r="P6" s="604"/>
      <c r="Q6" s="604"/>
    </row>
    <row r="7" spans="1:17" ht="38.25">
      <c r="A7" s="241"/>
      <c r="B7" s="538"/>
      <c r="C7" s="538"/>
      <c r="D7" s="538"/>
      <c r="E7" s="538"/>
      <c r="F7" s="538"/>
      <c r="G7" s="556"/>
      <c r="H7" s="33" t="s">
        <v>29</v>
      </c>
      <c r="I7" s="195" t="s">
        <v>30</v>
      </c>
      <c r="J7" s="556"/>
      <c r="K7" s="33" t="s">
        <v>29</v>
      </c>
      <c r="L7" s="195" t="s">
        <v>30</v>
      </c>
      <c r="M7" s="556"/>
      <c r="N7" s="33" t="s">
        <v>29</v>
      </c>
      <c r="O7" s="195" t="s">
        <v>30</v>
      </c>
      <c r="P7" s="605"/>
      <c r="Q7" s="605"/>
    </row>
    <row r="8" spans="1:17" s="388" customFormat="1" ht="12.75">
      <c r="A8" s="30" t="s">
        <v>34</v>
      </c>
      <c r="B8" s="28" t="s">
        <v>127</v>
      </c>
      <c r="C8" s="56"/>
      <c r="D8" s="28"/>
      <c r="E8" s="56"/>
      <c r="F8" s="56"/>
      <c r="G8" s="75">
        <f>SUM(G9+G68+G75)</f>
        <v>17940.899999999998</v>
      </c>
      <c r="H8" s="84">
        <f>SUM(H9+H68+H75)</f>
        <v>17402.699999999997</v>
      </c>
      <c r="I8" s="75">
        <f>SUM(I9+I68+I75)</f>
        <v>538.1999999999999</v>
      </c>
      <c r="J8" s="75">
        <f>SUM(J9+J68)</f>
        <v>16731.5</v>
      </c>
      <c r="K8" s="84">
        <f>SUM(K9+K68+K75)</f>
        <v>16459</v>
      </c>
      <c r="L8" s="75">
        <f>SUM(L9+L68)</f>
        <v>272.5</v>
      </c>
      <c r="M8" s="75">
        <f>SUM(M9+M68)</f>
        <v>8987.4</v>
      </c>
      <c r="N8" s="84">
        <f>SUM(N9+N68)</f>
        <v>8717.8</v>
      </c>
      <c r="O8" s="75">
        <f>SUM(O9+O68)</f>
        <v>269.6</v>
      </c>
      <c r="P8" s="28">
        <f>K8/H8*100</f>
        <v>94.57727823843427</v>
      </c>
      <c r="Q8" s="28">
        <f>N8/K8*100</f>
        <v>52.96676590315329</v>
      </c>
    </row>
    <row r="9" spans="1:17" ht="38.25">
      <c r="A9" s="30" t="s">
        <v>324</v>
      </c>
      <c r="B9" s="27" t="s">
        <v>127</v>
      </c>
      <c r="C9" s="49" t="s">
        <v>325</v>
      </c>
      <c r="D9" s="27"/>
      <c r="E9" s="50"/>
      <c r="F9" s="50"/>
      <c r="G9" s="75">
        <f aca="true" t="shared" si="0" ref="G9:L9">SUM(G10+G62)</f>
        <v>17940.899999999998</v>
      </c>
      <c r="H9" s="84">
        <f t="shared" si="0"/>
        <v>17402.699999999997</v>
      </c>
      <c r="I9" s="75">
        <f t="shared" si="0"/>
        <v>538.1999999999999</v>
      </c>
      <c r="J9" s="75">
        <f t="shared" si="0"/>
        <v>16731.5</v>
      </c>
      <c r="K9" s="84">
        <f t="shared" si="0"/>
        <v>16459</v>
      </c>
      <c r="L9" s="75">
        <f t="shared" si="0"/>
        <v>272.5</v>
      </c>
      <c r="M9" s="75">
        <f>SUM(M10)</f>
        <v>8987.4</v>
      </c>
      <c r="N9" s="84">
        <f>SUM(N10)</f>
        <v>8717.8</v>
      </c>
      <c r="O9" s="75">
        <f>SUM(O10+O62)</f>
        <v>269.6</v>
      </c>
      <c r="P9" s="28">
        <f>K9/H9*100</f>
        <v>94.57727823843427</v>
      </c>
      <c r="Q9" s="28">
        <f>N9/K9*100</f>
        <v>52.96676590315329</v>
      </c>
    </row>
    <row r="10" spans="1:17" ht="12.75">
      <c r="A10" s="27" t="s">
        <v>361</v>
      </c>
      <c r="B10" s="27" t="s">
        <v>127</v>
      </c>
      <c r="C10" s="49" t="s">
        <v>325</v>
      </c>
      <c r="D10" s="51" t="s">
        <v>360</v>
      </c>
      <c r="E10" s="50"/>
      <c r="F10" s="50"/>
      <c r="G10" s="71">
        <f aca="true" t="shared" si="1" ref="G10:L10">SUM(G11)</f>
        <v>17940.899999999998</v>
      </c>
      <c r="H10" s="82">
        <f t="shared" si="1"/>
        <v>17402.699999999997</v>
      </c>
      <c r="I10" s="71">
        <f t="shared" si="1"/>
        <v>538.1999999999999</v>
      </c>
      <c r="J10" s="71">
        <f t="shared" si="1"/>
        <v>16731.5</v>
      </c>
      <c r="K10" s="82">
        <f t="shared" si="1"/>
        <v>16459</v>
      </c>
      <c r="L10" s="71">
        <f t="shared" si="1"/>
        <v>272.5</v>
      </c>
      <c r="M10" s="71">
        <f>SUM(M11)</f>
        <v>8987.4</v>
      </c>
      <c r="N10" s="82">
        <f>SUM(N11)</f>
        <v>8717.8</v>
      </c>
      <c r="O10" s="71">
        <f>SUM(O11)</f>
        <v>269.6</v>
      </c>
      <c r="P10" s="27"/>
      <c r="Q10" s="27"/>
    </row>
    <row r="11" spans="1:17" ht="12.75">
      <c r="A11" s="27" t="s">
        <v>362</v>
      </c>
      <c r="B11" s="27" t="s">
        <v>127</v>
      </c>
      <c r="C11" s="49" t="s">
        <v>325</v>
      </c>
      <c r="D11" s="51" t="s">
        <v>360</v>
      </c>
      <c r="E11" s="51" t="s">
        <v>353</v>
      </c>
      <c r="F11" s="50"/>
      <c r="G11" s="71">
        <f aca="true" t="shared" si="2" ref="G11:O11">G12</f>
        <v>17940.899999999998</v>
      </c>
      <c r="H11" s="82">
        <f t="shared" si="2"/>
        <v>17402.699999999997</v>
      </c>
      <c r="I11" s="71">
        <f t="shared" si="2"/>
        <v>538.1999999999999</v>
      </c>
      <c r="J11" s="71">
        <f t="shared" si="2"/>
        <v>16731.5</v>
      </c>
      <c r="K11" s="82">
        <f t="shared" si="2"/>
        <v>16459</v>
      </c>
      <c r="L11" s="71">
        <f t="shared" si="2"/>
        <v>272.5</v>
      </c>
      <c r="M11" s="71">
        <f t="shared" si="2"/>
        <v>8987.4</v>
      </c>
      <c r="N11" s="82">
        <f t="shared" si="2"/>
        <v>8717.8</v>
      </c>
      <c r="O11" s="71">
        <f t="shared" si="2"/>
        <v>269.6</v>
      </c>
      <c r="P11" s="27"/>
      <c r="Q11" s="27"/>
    </row>
    <row r="12" spans="1:17" ht="12.75">
      <c r="A12" s="29" t="s">
        <v>23</v>
      </c>
      <c r="B12" s="27" t="s">
        <v>127</v>
      </c>
      <c r="C12" s="49" t="s">
        <v>325</v>
      </c>
      <c r="D12" s="51" t="s">
        <v>360</v>
      </c>
      <c r="E12" s="51" t="s">
        <v>353</v>
      </c>
      <c r="F12" s="51" t="s">
        <v>335</v>
      </c>
      <c r="G12" s="27">
        <f aca="true" t="shared" si="3" ref="G12:G17">H12+I12</f>
        <v>17940.899999999998</v>
      </c>
      <c r="H12" s="82">
        <f>H13+H16</f>
        <v>17402.699999999997</v>
      </c>
      <c r="I12" s="71">
        <f>I13+I16</f>
        <v>538.1999999999999</v>
      </c>
      <c r="J12" s="27">
        <f aca="true" t="shared" si="4" ref="J12:J17">K12+L12</f>
        <v>16731.5</v>
      </c>
      <c r="K12" s="82">
        <f>K13+K16</f>
        <v>16459</v>
      </c>
      <c r="L12" s="71">
        <f>L13+L16</f>
        <v>272.5</v>
      </c>
      <c r="M12" s="27">
        <f aca="true" t="shared" si="5" ref="M12:M17">N12+O12</f>
        <v>8987.4</v>
      </c>
      <c r="N12" s="82">
        <f>N13+N16</f>
        <v>8717.8</v>
      </c>
      <c r="O12" s="71">
        <f>O13+O16</f>
        <v>269.6</v>
      </c>
      <c r="P12" s="27">
        <f>K12/H12*100</f>
        <v>94.57727823843427</v>
      </c>
      <c r="Q12" s="27">
        <f>N12/K12*100</f>
        <v>52.96676590315329</v>
      </c>
    </row>
    <row r="13" spans="1:17" s="261" customFormat="1" ht="25.5">
      <c r="A13" s="115" t="s">
        <v>189</v>
      </c>
      <c r="B13" s="73"/>
      <c r="C13" s="116"/>
      <c r="D13" s="92"/>
      <c r="E13" s="92"/>
      <c r="F13" s="92"/>
      <c r="G13" s="117">
        <f t="shared" si="3"/>
        <v>297</v>
      </c>
      <c r="H13" s="118">
        <f>H14</f>
        <v>288.1</v>
      </c>
      <c r="I13" s="117">
        <f>I14</f>
        <v>8.9</v>
      </c>
      <c r="J13" s="117">
        <f t="shared" si="4"/>
        <v>98.30000000000001</v>
      </c>
      <c r="K13" s="118">
        <f>K14</f>
        <v>95.4</v>
      </c>
      <c r="L13" s="117">
        <f>L14</f>
        <v>2.9</v>
      </c>
      <c r="M13" s="117">
        <f t="shared" si="5"/>
        <v>0</v>
      </c>
      <c r="N13" s="118">
        <f>N14</f>
        <v>0</v>
      </c>
      <c r="O13" s="117">
        <f>O14</f>
        <v>0</v>
      </c>
      <c r="P13" s="27">
        <f>K13/H13*100</f>
        <v>33.113502256161055</v>
      </c>
      <c r="Q13" s="27">
        <f>N13/K13*100</f>
        <v>0</v>
      </c>
    </row>
    <row r="14" spans="1:17" s="261" customFormat="1" ht="12.75">
      <c r="A14" s="119" t="s">
        <v>198</v>
      </c>
      <c r="B14" s="73"/>
      <c r="C14" s="116"/>
      <c r="D14" s="92"/>
      <c r="E14" s="92"/>
      <c r="F14" s="92"/>
      <c r="G14" s="386">
        <f t="shared" si="3"/>
        <v>297</v>
      </c>
      <c r="H14" s="120">
        <f>H15</f>
        <v>288.1</v>
      </c>
      <c r="I14" s="73">
        <f>I15</f>
        <v>8.9</v>
      </c>
      <c r="J14" s="386">
        <f t="shared" si="4"/>
        <v>98.30000000000001</v>
      </c>
      <c r="K14" s="120">
        <f>K15</f>
        <v>95.4</v>
      </c>
      <c r="L14" s="73">
        <f>L15</f>
        <v>2.9</v>
      </c>
      <c r="M14" s="386">
        <f t="shared" si="5"/>
        <v>0</v>
      </c>
      <c r="N14" s="120">
        <f>N15</f>
        <v>0</v>
      </c>
      <c r="O14" s="73">
        <f>O15</f>
        <v>0</v>
      </c>
      <c r="P14" s="73"/>
      <c r="Q14" s="73"/>
    </row>
    <row r="15" spans="1:17" s="261" customFormat="1" ht="25.5">
      <c r="A15" s="236" t="s">
        <v>128</v>
      </c>
      <c r="B15" s="73"/>
      <c r="C15" s="116"/>
      <c r="D15" s="92"/>
      <c r="E15" s="92"/>
      <c r="F15" s="92"/>
      <c r="G15" s="386">
        <f t="shared" si="3"/>
        <v>297</v>
      </c>
      <c r="H15" s="120">
        <v>288.1</v>
      </c>
      <c r="I15" s="73">
        <v>8.9</v>
      </c>
      <c r="J15" s="386">
        <f t="shared" si="4"/>
        <v>98.30000000000001</v>
      </c>
      <c r="K15" s="120">
        <v>95.4</v>
      </c>
      <c r="L15" s="73">
        <v>2.9</v>
      </c>
      <c r="M15" s="386">
        <f t="shared" si="5"/>
        <v>0</v>
      </c>
      <c r="N15" s="120">
        <v>0</v>
      </c>
      <c r="O15" s="73">
        <v>0</v>
      </c>
      <c r="P15" s="73"/>
      <c r="Q15" s="73"/>
    </row>
    <row r="16" spans="1:17" s="389" customFormat="1" ht="25.5">
      <c r="A16" s="122" t="s">
        <v>151</v>
      </c>
      <c r="B16" s="117"/>
      <c r="C16" s="123"/>
      <c r="D16" s="124"/>
      <c r="E16" s="124"/>
      <c r="F16" s="124"/>
      <c r="G16" s="117">
        <f t="shared" si="3"/>
        <v>17643.899999999998</v>
      </c>
      <c r="H16" s="118">
        <f>H17+H18</f>
        <v>17114.6</v>
      </c>
      <c r="I16" s="117">
        <f>I17+I18</f>
        <v>529.3</v>
      </c>
      <c r="J16" s="117">
        <f t="shared" si="4"/>
        <v>16633.2</v>
      </c>
      <c r="K16" s="118">
        <f>K17+K18</f>
        <v>16363.6</v>
      </c>
      <c r="L16" s="117">
        <f>L17+L18</f>
        <v>269.6</v>
      </c>
      <c r="M16" s="117">
        <f t="shared" si="5"/>
        <v>8987.4</v>
      </c>
      <c r="N16" s="118">
        <f>N17+N18</f>
        <v>8717.8</v>
      </c>
      <c r="O16" s="117">
        <f>O17+O18</f>
        <v>269.6</v>
      </c>
      <c r="P16" s="27">
        <f>K16/H16*100</f>
        <v>95.61193367066716</v>
      </c>
      <c r="Q16" s="27">
        <f>N16/K16*100</f>
        <v>53.275562834584065</v>
      </c>
    </row>
    <row r="17" spans="1:17" s="261" customFormat="1" ht="25.5">
      <c r="A17" s="385" t="s">
        <v>150</v>
      </c>
      <c r="B17" s="126"/>
      <c r="C17" s="126"/>
      <c r="D17" s="126"/>
      <c r="E17" s="127"/>
      <c r="F17" s="127"/>
      <c r="G17" s="386">
        <f t="shared" si="3"/>
        <v>1250</v>
      </c>
      <c r="H17" s="120">
        <v>1212.5</v>
      </c>
      <c r="I17" s="386">
        <v>37.5</v>
      </c>
      <c r="J17" s="386">
        <f t="shared" si="4"/>
        <v>1250</v>
      </c>
      <c r="K17" s="120">
        <v>1212.5</v>
      </c>
      <c r="L17" s="386">
        <v>37.5</v>
      </c>
      <c r="M17" s="386">
        <f t="shared" si="5"/>
        <v>1250</v>
      </c>
      <c r="N17" s="120">
        <v>1212.5</v>
      </c>
      <c r="O17" s="386">
        <v>37.5</v>
      </c>
      <c r="P17" s="27">
        <f>K17/H17*100</f>
        <v>100</v>
      </c>
      <c r="Q17" s="27">
        <f>N17/K17*100</f>
        <v>100</v>
      </c>
    </row>
    <row r="18" spans="1:17" s="261" customFormat="1" ht="12.75">
      <c r="A18" s="125" t="s">
        <v>198</v>
      </c>
      <c r="B18" s="126"/>
      <c r="C18" s="126"/>
      <c r="D18" s="126"/>
      <c r="E18" s="127"/>
      <c r="F18" s="127"/>
      <c r="G18" s="386">
        <f aca="true" t="shared" si="6" ref="G18:G23">H18+I18</f>
        <v>16393.9</v>
      </c>
      <c r="H18" s="120">
        <f>H19+H20+H21+H22+H23</f>
        <v>15902.1</v>
      </c>
      <c r="I18" s="73">
        <f>I19+I20+I21+I22+I23</f>
        <v>491.8</v>
      </c>
      <c r="J18" s="386">
        <f aca="true" t="shared" si="7" ref="J18:J23">K18+L18</f>
        <v>15383.2</v>
      </c>
      <c r="K18" s="120">
        <f>K19+K20+K21+K22+K23</f>
        <v>15151.1</v>
      </c>
      <c r="L18" s="73">
        <f>L19+L20+L21+L22+L23</f>
        <v>232.1</v>
      </c>
      <c r="M18" s="386">
        <f aca="true" t="shared" si="8" ref="M18:M23">N18+O18</f>
        <v>7737.4</v>
      </c>
      <c r="N18" s="120">
        <f>N19+N20+N21+N22+N23</f>
        <v>7505.299999999999</v>
      </c>
      <c r="O18" s="73">
        <f>O19+O20+O21+O22+O23</f>
        <v>232.1</v>
      </c>
      <c r="P18" s="27">
        <f>K18/H18*100</f>
        <v>95.27735330553826</v>
      </c>
      <c r="Q18" s="27">
        <f>N18/K18*100</f>
        <v>49.5363372956419</v>
      </c>
    </row>
    <row r="19" spans="1:17" ht="25.5">
      <c r="A19" s="258" t="s">
        <v>129</v>
      </c>
      <c r="B19" s="259"/>
      <c r="C19" s="92"/>
      <c r="D19" s="92"/>
      <c r="E19" s="92"/>
      <c r="F19" s="92"/>
      <c r="G19" s="386">
        <f t="shared" si="6"/>
        <v>2450.4</v>
      </c>
      <c r="H19" s="120">
        <v>2376.9</v>
      </c>
      <c r="I19" s="121">
        <v>73.5</v>
      </c>
      <c r="J19" s="386">
        <f t="shared" si="7"/>
        <v>2450.4</v>
      </c>
      <c r="K19" s="82">
        <v>2376.9</v>
      </c>
      <c r="L19" s="390">
        <v>73.5</v>
      </c>
      <c r="M19" s="386">
        <f t="shared" si="8"/>
        <v>2450.4</v>
      </c>
      <c r="N19" s="82">
        <v>2376.9</v>
      </c>
      <c r="O19" s="390">
        <v>73.5</v>
      </c>
      <c r="P19" s="390"/>
      <c r="Q19" s="390"/>
    </row>
    <row r="20" spans="1:17" ht="25.5">
      <c r="A20" s="258" t="s">
        <v>130</v>
      </c>
      <c r="B20" s="259"/>
      <c r="C20" s="92"/>
      <c r="D20" s="92"/>
      <c r="E20" s="92"/>
      <c r="F20" s="260"/>
      <c r="G20" s="386">
        <f t="shared" si="6"/>
        <v>5861.2</v>
      </c>
      <c r="H20" s="120">
        <v>5685.4</v>
      </c>
      <c r="I20" s="121">
        <v>175.8</v>
      </c>
      <c r="J20" s="386">
        <f t="shared" si="7"/>
        <v>5287</v>
      </c>
      <c r="K20" s="82">
        <v>5128.4</v>
      </c>
      <c r="L20" s="390">
        <v>158.6</v>
      </c>
      <c r="M20" s="386">
        <f t="shared" si="8"/>
        <v>5287</v>
      </c>
      <c r="N20" s="82">
        <v>5128.4</v>
      </c>
      <c r="O20" s="390">
        <v>158.6</v>
      </c>
      <c r="P20" s="390"/>
      <c r="Q20" s="390"/>
    </row>
    <row r="21" spans="1:17" ht="38.25">
      <c r="A21" s="258" t="s">
        <v>133</v>
      </c>
      <c r="B21" s="259"/>
      <c r="C21" s="92"/>
      <c r="D21" s="92"/>
      <c r="E21" s="92"/>
      <c r="F21" s="92"/>
      <c r="G21" s="386">
        <f t="shared" si="6"/>
        <v>3189.7999999999997</v>
      </c>
      <c r="H21" s="120">
        <v>3094.1</v>
      </c>
      <c r="I21" s="121">
        <v>95.7</v>
      </c>
      <c r="J21" s="386">
        <f t="shared" si="7"/>
        <v>3094.1</v>
      </c>
      <c r="K21" s="82">
        <v>3094.1</v>
      </c>
      <c r="L21" s="390">
        <v>0</v>
      </c>
      <c r="M21" s="386">
        <f t="shared" si="8"/>
        <v>0</v>
      </c>
      <c r="N21" s="82"/>
      <c r="O21" s="390">
        <v>0</v>
      </c>
      <c r="P21" s="390"/>
      <c r="Q21" s="390"/>
    </row>
    <row r="22" spans="1:17" ht="25.5">
      <c r="A22" s="258" t="s">
        <v>236</v>
      </c>
      <c r="B22" s="259"/>
      <c r="C22" s="92"/>
      <c r="D22" s="92"/>
      <c r="E22" s="92"/>
      <c r="F22" s="92"/>
      <c r="G22" s="386">
        <f t="shared" si="6"/>
        <v>3400</v>
      </c>
      <c r="H22" s="120">
        <v>3298</v>
      </c>
      <c r="I22" s="121">
        <v>102</v>
      </c>
      <c r="J22" s="386">
        <f t="shared" si="7"/>
        <v>3104</v>
      </c>
      <c r="K22" s="82">
        <v>3104</v>
      </c>
      <c r="L22" s="390">
        <v>0</v>
      </c>
      <c r="M22" s="386">
        <f t="shared" si="8"/>
        <v>0</v>
      </c>
      <c r="N22" s="82"/>
      <c r="O22" s="390">
        <v>0</v>
      </c>
      <c r="P22" s="390"/>
      <c r="Q22" s="390"/>
    </row>
    <row r="23" spans="1:17" ht="38.25">
      <c r="A23" s="258" t="s">
        <v>235</v>
      </c>
      <c r="B23" s="259"/>
      <c r="C23" s="92"/>
      <c r="D23" s="92"/>
      <c r="E23" s="92"/>
      <c r="F23" s="92"/>
      <c r="G23" s="386">
        <f t="shared" si="6"/>
        <v>1492.5</v>
      </c>
      <c r="H23" s="120">
        <v>1447.7</v>
      </c>
      <c r="I23" s="121">
        <v>44.8</v>
      </c>
      <c r="J23" s="386">
        <f t="shared" si="7"/>
        <v>1447.7</v>
      </c>
      <c r="K23" s="82">
        <v>1447.7</v>
      </c>
      <c r="L23" s="390">
        <v>0</v>
      </c>
      <c r="M23" s="386">
        <f t="shared" si="8"/>
        <v>0</v>
      </c>
      <c r="N23" s="82"/>
      <c r="O23" s="390">
        <v>0</v>
      </c>
      <c r="P23" s="390"/>
      <c r="Q23" s="390"/>
    </row>
  </sheetData>
  <mergeCells count="16">
    <mergeCell ref="P5:P7"/>
    <mergeCell ref="Q5:Q7"/>
    <mergeCell ref="J5:L5"/>
    <mergeCell ref="M5:O5"/>
    <mergeCell ref="J6:J7"/>
    <mergeCell ref="M6:M7"/>
    <mergeCell ref="K6:L6"/>
    <mergeCell ref="N6:O6"/>
    <mergeCell ref="F5:F7"/>
    <mergeCell ref="G5:I5"/>
    <mergeCell ref="G6:G7"/>
    <mergeCell ref="H6:I6"/>
    <mergeCell ref="B5:B7"/>
    <mergeCell ref="C5:C7"/>
    <mergeCell ref="D5:D7"/>
    <mergeCell ref="E5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plenokos</cp:lastModifiedBy>
  <cp:lastPrinted>2014-03-14T12:51:19Z</cp:lastPrinted>
  <dcterms:created xsi:type="dcterms:W3CDTF">2010-09-09T06:53:55Z</dcterms:created>
  <dcterms:modified xsi:type="dcterms:W3CDTF">2014-04-02T07:07:33Z</dcterms:modified>
  <cp:category/>
  <cp:version/>
  <cp:contentType/>
  <cp:contentStatus/>
</cp:coreProperties>
</file>