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610" tabRatio="918" activeTab="11"/>
  </bookViews>
  <sheets>
    <sheet name="Исполнение на 01.07.2013" sheetId="1" r:id="rId1"/>
    <sheet name="С освоением на 01.07.2013" sheetId="2" r:id="rId2"/>
    <sheet name="5225100" sheetId="3" r:id="rId3"/>
    <sheet name="5225200" sheetId="4" r:id="rId4"/>
    <sheet name="5225500" sheetId="5" r:id="rId5"/>
    <sheet name="5225800" sheetId="6" r:id="rId6"/>
    <sheet name="5225900" sheetId="7" r:id="rId7"/>
    <sheet name="5226000" sheetId="8" r:id="rId8"/>
    <sheet name="5226100" sheetId="9" r:id="rId9"/>
    <sheet name="5226600" sheetId="10" r:id="rId10"/>
    <sheet name="5221100" sheetId="11" r:id="rId11"/>
    <sheet name="5221000" sheetId="12" r:id="rId12"/>
  </sheets>
  <definedNames>
    <definedName name="Z_2B69C794_F1CA_4532_9ED6_3F648259398F_.wvu.Rows" localSheetId="1" hidden="1">'С освоением на 01.07.2013'!$9:$11</definedName>
    <definedName name="Z_74892229_D01D_4FD5_A132_182EE8F8EB4C_.wvu.Rows" localSheetId="1" hidden="1">'С освоением на 01.07.2013'!$9:$11</definedName>
    <definedName name="Z_81BACF0E_D914_4E7A_BE07_0CE8E3669C33_.wvu.Rows" localSheetId="1" hidden="1">'С освоением на 01.07.2013'!$9:$11</definedName>
    <definedName name="Z_AB82B1BE_DD73_4B65_89C4_0AE2018E146D_.wvu.PrintArea" localSheetId="0" hidden="1">'Исполнение на 01.07.2013'!$A$2:$H$154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H7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ЦС 1005802 на спортзалы Амдерма, Красное
</t>
        </r>
      </text>
    </comment>
    <comment ref="H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ЦП 1001101</t>
        </r>
      </text>
    </comment>
  </commentList>
</comments>
</file>

<file path=xl/sharedStrings.xml><?xml version="1.0" encoding="utf-8"?>
<sst xmlns="http://schemas.openxmlformats.org/spreadsheetml/2006/main" count="2860" uniqueCount="498">
  <si>
    <r>
      <t>590208;Строительство ДЭС (д. Чижа) МО «Канинский сельсовет» Ненецкого автономного округа</t>
    </r>
    <r>
      <rPr>
        <sz val="8"/>
        <color indexed="12"/>
        <rFont val="Arial"/>
        <family val="2"/>
      </rPr>
      <t xml:space="preserve">                                                              за счёт средств 2012 года</t>
    </r>
  </si>
  <si>
    <t>590236; Разработка проектной документации для газификации д. Пылемец МО "Великовисочный сельсовет" Ненецкого автономного округа</t>
  </si>
  <si>
    <t>5090605; 4.3. Осуществление бюджетных инвестиций в форме капитальных вложений в основные средства ГУП НАО "Нарьян-Марская электростанция на реконструкцию электрических сетей, релейной защиты и автоматики ГУП НАО "Нарьян-Марская электростанция"</t>
  </si>
  <si>
    <t>590610; 4.5 Осуществление бюджетных инвестиций в форме капитальных вложений в основные средства ГУП НАО "Нарьян-Марская электростанция" на обеспечение земельных участков инженерной инфраструктурой в районе ул. Авиаторов в г. Нарьян-Мар (раздел электроснабжение)</t>
  </si>
  <si>
    <t>Долгосрочная целевая программа «Формирование и регулирование рынка сельскохозяйственной продукции, сырья и продовольствия в Ненецком автономном округе на 2011 - 2017 годы»</t>
  </si>
  <si>
    <t>Долгосрочная целевая программа «Развитие городского округа «Город Нарьян-Мар» на 2009 -2013 годы»</t>
  </si>
  <si>
    <t>Долгосрочная целевая программа «Социальное развитие села на территории Ненецкого автономного округа на 2009 - 2015 годы»</t>
  </si>
  <si>
    <r>
      <t xml:space="preserve">590211; Строительство участка ЛЭП с разработкой ПСД МО "Колгуевский сельсовет" Ненецкий автономный округ                                                                                                </t>
    </r>
    <r>
      <rPr>
        <sz val="8"/>
        <color indexed="12"/>
        <rFont val="Arial"/>
        <family val="2"/>
      </rPr>
      <t xml:space="preserve"> за счёт средств 2012 года</t>
    </r>
  </si>
  <si>
    <r>
      <t xml:space="preserve">590216; Газификация с. Тельвиска МО "Тельвисочный сельсовет" Ненецкий автономный округ                                                            </t>
    </r>
    <r>
      <rPr>
        <sz val="8"/>
        <color indexed="12"/>
        <rFont val="Arial"/>
        <family val="2"/>
      </rPr>
      <t xml:space="preserve"> за счёт средств 2012 года</t>
    </r>
  </si>
  <si>
    <r>
      <t xml:space="preserve">590222;Строительство объекта «ЛЭП-0,4кВ, трансформаторная подстанция в п.Выучейский» МО "Тиманский сельсовет" Ненецкого автономного округа                                                                         </t>
    </r>
    <r>
      <rPr>
        <sz val="8"/>
        <color indexed="12"/>
        <rFont val="Arial"/>
        <family val="2"/>
      </rPr>
      <t>за счёт средств 2012 года</t>
    </r>
  </si>
  <si>
    <r>
      <t xml:space="preserve">590223;Строительство объекта «ЛЭП-0,4кВ, 10 кВ, трансформаторные подстанции в п. Индига и межпоселковая ЛЭП-10 кВ: п. Индига - п. Выучейский" МО "Тиманский сельсовет" Ненецкого автономного округа                                                                    </t>
    </r>
    <r>
      <rPr>
        <sz val="8"/>
        <color indexed="12"/>
        <rFont val="Arial"/>
        <family val="2"/>
      </rPr>
      <t xml:space="preserve"> за счёт средств 2012 года</t>
    </r>
  </si>
  <si>
    <t>За счёт средств 2012 года:</t>
  </si>
  <si>
    <t xml:space="preserve">590226; Реконструкция ДЭС в п. Бугрино </t>
  </si>
  <si>
    <t>Разработка ПСД на реконструкцию ЛЭП д. Макарово</t>
  </si>
  <si>
    <t>Строительство ДЭС с разработкой ПСД в д. Кия</t>
  </si>
  <si>
    <t>590230; Реконструкция тепловых сетей п. Каратайка</t>
  </si>
  <si>
    <t>590700; Проведение обязательного энергетического обследования учреждений здравоохранения Ненецкого автономного округа</t>
  </si>
  <si>
    <t>590609; 6.4. Изготовление и размещение рекламных материалов, направленных на популяризацию внедрения энергосберегающих технологий населением округа</t>
  </si>
  <si>
    <t xml:space="preserve">590611; 6.2 Изготовление и монтаж рекламных стендов на территории округа </t>
  </si>
  <si>
    <t>(52.06.01) Социальные выплаты на улучшение жилищных условий граждан, проживающих в сельской местности, в том числе молодых семей и молодых специалистов, в целях софинансирования ФЦП "Социальное развитие села до 2013 года"</t>
  </si>
  <si>
    <t>(520223) Строительство объекта «Школа-сад на 80 мест в п. Бугрино»</t>
  </si>
  <si>
    <t>(520224) Строительство объекта «Пришкольный интернат на 80 мест в п. Каратайка» с разработкой ПСД</t>
  </si>
  <si>
    <t>(520225) Строительство объекта «Школа на 800 мест в п. Искателей», с разработкой ПСД</t>
  </si>
  <si>
    <t>(520226) Привязка и строительство гаража для спецтехники МО «Карский сельсовет»</t>
  </si>
  <si>
    <t>(520228) Привязка и строительство гаража для спецтехники МО «Малоземельский  сельсовет»</t>
  </si>
  <si>
    <t>(520229) Разработка проектной документации для строительства объекта «Школа на 100 мест в с.Оксино»</t>
  </si>
  <si>
    <t>(520230) Разработка проектной документации для строительства объекта «Школа на 100 мест в п.Харута»</t>
  </si>
  <si>
    <t>(520231) Спортивный зал в с.Оксино Ненецкого автономного округа, с разработкой проектной документации</t>
  </si>
  <si>
    <t>(520233) "Школа на 300 мест в с. Несь Ненецкого автономного округа", привязка проектной документации "Школа на 300 мест в п. Красное Ненецкого автономного округа"</t>
  </si>
  <si>
    <t>(520234) Привязка проектной документации объекта "Объект соцкультбыта в Новом посёлке" для разработки проектной документации объекта "Объект соцкультбыта в с. Великовисочное"</t>
  </si>
  <si>
    <t>(520235) Ремонт взлетно-посадочной полосы в д. Чижа МО "Канинский сельсовет"</t>
  </si>
  <si>
    <t>(520236) Ремонт взлетно-посадочной полосы в п. Каратайка МО "Юшарский сельсовет"</t>
  </si>
  <si>
    <t>(520237) Ремонт взлетно-посадочной полосы в с. Великовисочное МО "Великовисочный сельсовет"</t>
  </si>
  <si>
    <t>(520238) Разработка проектной документации объекта "Служебно-пассажирское здание местных воздушных линий в д. Чижа"</t>
  </si>
  <si>
    <t>(520239) Разработка проектной документации объекта "Служебно-пассажирское здание местных воздушных линий в д. Лабожское"</t>
  </si>
  <si>
    <t>(520240) Разработка проектной документации на строительство моста через р. Кутино с. Несь</t>
  </si>
  <si>
    <t>(520241) Ремонт вертолётной площадки в с. Оксино МО "Пустозерский сельсовет"</t>
  </si>
  <si>
    <r>
      <t xml:space="preserve">(520204) Строительство объекта «Школа на 170 мест в п. Нельмин-Нос»                                                       </t>
    </r>
    <r>
      <rPr>
        <sz val="9"/>
        <color indexed="12"/>
        <rFont val="Times New Roman"/>
        <family val="1"/>
      </rPr>
      <t>за счёт средств 2012 года</t>
    </r>
  </si>
  <si>
    <r>
      <t xml:space="preserve">(520211) Строительство объекта "Детский сад на 80 мест в п. Харута"                                                                               </t>
    </r>
    <r>
      <rPr>
        <sz val="9"/>
        <color indexed="12"/>
        <rFont val="Times New Roman"/>
        <family val="1"/>
      </rPr>
      <t>за счёт средств 2012 года</t>
    </r>
  </si>
  <si>
    <r>
      <t xml:space="preserve">(520212) Строительство детского сада на 30 мест в с. Шойна                                                                       </t>
    </r>
    <r>
      <rPr>
        <sz val="9"/>
        <color indexed="12"/>
        <rFont val="Times New Roman"/>
        <family val="1"/>
      </rPr>
      <t xml:space="preserve"> за счёт средств 2012 года</t>
    </r>
  </si>
  <si>
    <r>
      <t xml:space="preserve">(520213) Строительство детского сада на 80 мест  в п.Усть-Кара, с разработкой ПСД                                                                              </t>
    </r>
    <r>
      <rPr>
        <sz val="9"/>
        <color indexed="12"/>
        <rFont val="Times New Roman"/>
        <family val="1"/>
      </rPr>
      <t>за счёт средств 2012 года</t>
    </r>
  </si>
  <si>
    <t>(520214) Субсидии на иные цели                                                      (Приобретение специализированной техники для коомунальных нужд)</t>
  </si>
  <si>
    <r>
      <t xml:space="preserve">(520218) Строительство объекта "Школа на 300 мест в п. Красное"                                                                                          </t>
    </r>
    <r>
      <rPr>
        <sz val="9"/>
        <color indexed="12"/>
        <rFont val="Times New Roman"/>
        <family val="1"/>
      </rPr>
      <t>за счёт средств 2012 года</t>
    </r>
  </si>
  <si>
    <r>
      <t xml:space="preserve">(520219) Строительство объекта "Школа на 150 мест в п. Индига"                                                                                </t>
    </r>
    <r>
      <rPr>
        <sz val="9"/>
        <color indexed="12"/>
        <rFont val="Times New Roman"/>
        <family val="1"/>
      </rPr>
      <t>за счёт средств 2012 года</t>
    </r>
  </si>
  <si>
    <r>
      <t xml:space="preserve">(520220) Строительство объекта "Школа на 110 мест в с. Нижняя Пёша"                                                                              </t>
    </r>
    <r>
      <rPr>
        <sz val="9"/>
        <color indexed="12"/>
        <rFont val="Times New Roman"/>
        <family val="1"/>
      </rPr>
      <t>за счёт средств 2012 года</t>
    </r>
  </si>
  <si>
    <t>Привязка проектной документации объекта "Детский сад на 100 мест в с. Несь" для разработки проектной документации объекта "Детский сад на 100 мест в п. Хорей-Вер"</t>
  </si>
  <si>
    <t>Строительство школы-интернат в с. Шойна, с разработкой ПСД</t>
  </si>
  <si>
    <t>Строительство спортивного сооружения с универсальным игровым залом в с. Нижняя Пеша</t>
  </si>
  <si>
    <t>Строительство спортивного сооружения с универсальным игровым залом в с. Несь</t>
  </si>
  <si>
    <t>Строительство спортивного сооружения с универсальным игровым залом в п. Амдерма</t>
  </si>
  <si>
    <t>Разработка ПСД типового склада ГСМ</t>
  </si>
  <si>
    <t>За счёт средств 2012 года</t>
  </si>
  <si>
    <t>(520701) Приобретение и монтаж мебели и технологического оборудования по объекту "Строительство участковой больницы на 10 коек с разработкой ПСД в п. Хорей-Вер"</t>
  </si>
  <si>
    <t>Разработка ПСД объекта "Школа на 170 мест в п. Нельмин-Нос"</t>
  </si>
  <si>
    <t>Строительство автомобильной дороги Нарьян-Мар-Тельвиска с подготовкой проектной документации</t>
  </si>
  <si>
    <t>в том числе за счет остатков средств 2012г</t>
  </si>
  <si>
    <t>(520232) Разработка проектной документации на строительство участка магистральной дороги ул. Монтажников - ул.Угольная - ул.Юбилейная с участком до ул. Губкина в п. Искателей</t>
  </si>
  <si>
    <t>Капитальный ремонт пешеходного перехода через р. Старица с. Несь, МО "Канинский сельсовет" Ненецкого автономного округа</t>
  </si>
  <si>
    <t>(520214) Субсидии на иные цели:</t>
  </si>
  <si>
    <t>Строительство КОС в п. Бондарка с корректировкой ПСД</t>
  </si>
  <si>
    <t>в т.ч.</t>
  </si>
  <si>
    <t>55.01.12 Строительство автомобильной дороги ул. Полярная - ул. Рыбников</t>
  </si>
  <si>
    <t>55.01.13 Реконструкция ул. Хатанзейского в г. Нарьян-Маре Ненецкого автономного округа</t>
  </si>
  <si>
    <t>55.01.14 Реконструкция улично-дорожной сети п. Новый в г. Нарьян-Маре Ненецкого автономного округа</t>
  </si>
  <si>
    <t>55.01.16 Реконструкция ул. Октябрьская в г. Нарьян-Маре</t>
  </si>
  <si>
    <t>55.01.20 Строительство автомобильной дороги ул. Рыбников с подъездом к ЦОС в г. Нарьян-Маре Ненецкого автономного округа</t>
  </si>
  <si>
    <t>Приобретение 2-х автобусов для МУП "Нарьян-Марское АТП" типа ЛИАЗ-5293.53 (или аналог), оборудованных для проезда инвалидов</t>
  </si>
  <si>
    <t>Переходящий остаток 2011 года:</t>
  </si>
  <si>
    <t>Переходящий остаток 2012 года:</t>
  </si>
  <si>
    <r>
      <t xml:space="preserve">Обустройство дворовой территории по ул. Октябрьская, д. 9                 </t>
    </r>
    <r>
      <rPr>
        <sz val="8"/>
        <color indexed="12"/>
        <rFont val="Times New Roman"/>
        <family val="1"/>
      </rPr>
      <t>переходящий остаток за 2012 год</t>
    </r>
    <r>
      <rPr>
        <sz val="8"/>
        <color indexed="16"/>
        <rFont val="Times New Roman"/>
        <family val="1"/>
      </rPr>
      <t xml:space="preserve"> </t>
    </r>
  </si>
  <si>
    <r>
      <t xml:space="preserve">55.01.03 Баня в районе п. Новый в г. Нарьян-Мар, разработка ПСД                                                          </t>
    </r>
    <r>
      <rPr>
        <sz val="9"/>
        <color indexed="12"/>
        <rFont val="Times New Roman"/>
        <family val="1"/>
      </rPr>
      <t>переходящий остаток за 2012 год</t>
    </r>
    <r>
      <rPr>
        <sz val="9"/>
        <color indexed="16"/>
        <rFont val="Times New Roman"/>
        <family val="1"/>
      </rPr>
      <t xml:space="preserve"> </t>
    </r>
  </si>
  <si>
    <t>"Развитие городского округа "Город Нарьян-Мар" на 2009 -2013 годы"</t>
  </si>
  <si>
    <t xml:space="preserve">Утверждено ОБ на 1 полугодие 2013 года  </t>
  </si>
  <si>
    <t>55.01.01 Субсидии на иные цели, в т.ч:</t>
  </si>
  <si>
    <t>55.01.23 Строительство мостового перехода через р. Городецкая на автомобильной дороге к полигону твёрдых бытовых отходов в г. Нарьян-Маре, разработка проектной документации</t>
  </si>
  <si>
    <t>55.01.27 Реконструкция ул. Хатанзейского на участке от ул.Выучейского до территории КОС (завершение работ)</t>
  </si>
  <si>
    <t>Образование</t>
  </si>
  <si>
    <t>07</t>
  </si>
  <si>
    <t>Дошкольное образование</t>
  </si>
  <si>
    <t xml:space="preserve">       </t>
  </si>
  <si>
    <t xml:space="preserve">55.01.24 Строительство нового корпуса детского сада «Ромашка», разработка проектной документации     </t>
  </si>
  <si>
    <t>55.01.25 Детский сад на 220 мест по ул.Авиаторов в г.Нарьян-Маре, разработка ПСД</t>
  </si>
  <si>
    <t>Общее образование</t>
  </si>
  <si>
    <t>55.01.26 Строительство школы № 3 на 700 мест по ул.Авиаторов в г. Нарьян-Маре, разработка проектной документации</t>
  </si>
  <si>
    <t>Организация дорожного движения на дорогах общего пользования местного значения</t>
  </si>
  <si>
    <t>Устройство детских игровых площадок в городе Нарьян-Маре</t>
  </si>
  <si>
    <t>Устройство междворовых проездов</t>
  </si>
  <si>
    <t>"Социальное развитие села на территории Ненецкого автономного округа на 2009 - 2015 годы"</t>
  </si>
  <si>
    <t xml:space="preserve">Утверждено ОБ       на 1 полугодие 2013 года  </t>
  </si>
  <si>
    <t>(520408) ФАП в д. Пылемец, привязка проектной документации</t>
  </si>
  <si>
    <t>(520409) Подготовка участка строительства, устройство наружных инженерных сетей и благоустройство для объекта строительства «Амбулатория в п. Красное Ненецкого автономного округа»</t>
  </si>
  <si>
    <t>(520242) Строительство объекта «Школа на 100 мест в с. Тельвиска Ненецкого автономного округа»</t>
  </si>
  <si>
    <t>(520243) Ремонт взлетно-посадочной полосы в п. Индига МО «Тиманский сельсовет»</t>
  </si>
  <si>
    <t>(520244) Привязка проектной документации объекта «Спортивное сооружение с универсальным игровым залом в  с. Красное Ненецкого автономного округа» для разработки проектной документации объекта «Строительство спортивного сооружения с универсальным игровым залом в  с.Великовисочное Ненецкого автономного округа»</t>
  </si>
  <si>
    <t>(520245) Привязка проектной документации объекта «Спортивное сооружение с универсальным игровым залом в  с. Красное Ненецкого автономного округа» для разработки проектной документации объекта «Строительство спортивного сооружения с универсальным игровым залом в  с.Тельвиска Ненецкого автономного округа»</t>
  </si>
  <si>
    <t>(520246) Привязка проектной документации объекта «Спортивное сооружение с универсальным игровым залом в  с. Красное Ненецкого автономного округа» для разработки проектной документации объекта «Строительство спортивного сооружения с универсальным игровым залом в  с.Ома Ненецкого автономного округа»</t>
  </si>
  <si>
    <t>(520247) Привязка проектной документации «Баня в п. Варнек» для строительства объекта «Баня в д. Андег»</t>
  </si>
  <si>
    <t>51.31.09; Укрепление береговой линии территории застройки в районе ул.Авиаторов в г.Нарьян-Маре, с разработкой проектной документации</t>
  </si>
  <si>
    <t>51.32.04; Обеспечение микрорайона жилищной застройки в районе жилищного комплекса «Нарьян-Мар Вилладж» сетями электроснабжения МО "Городское поселение "Рабочий посёлок Искателей"</t>
  </si>
  <si>
    <t>51.32.05; Обеспечение земельных участков инженерной инфраструктурой в целях строительства домов для оленеводов и чумработниц в п. Красное  МО «Приморско-Куйский сельсовет»</t>
  </si>
  <si>
    <t>Подготовка земельного участка для строительства 4-х квартирных жилых домов в п. Красное  (МО «Приморско-Куйский сельсовет»)</t>
  </si>
  <si>
    <r>
      <t xml:space="preserve">51.31.03; Обеспечение транспортной инфраструктурой территории индивидуальной жилой застройки  "Старый аэропорт" в г. Нарьян-Маре                                                                                      </t>
    </r>
    <r>
      <rPr>
        <sz val="10"/>
        <color indexed="12"/>
        <rFont val="Times New Roman"/>
        <family val="1"/>
      </rPr>
      <t>за счёт средств 2012 года</t>
    </r>
  </si>
  <si>
    <r>
      <t xml:space="preserve">51.31.05; Перенос инженерных сетей (водоснабжения) по ул. Пионерской                                                                                                                                </t>
    </r>
    <r>
      <rPr>
        <sz val="10"/>
        <color indexed="12"/>
        <rFont val="Times New Roman"/>
        <family val="1"/>
      </rPr>
      <t>за счёт средств 2012 года</t>
    </r>
  </si>
  <si>
    <t>Газоснабжение района застройки по ул. Авиаторов в г. Нарьян-Маре</t>
  </si>
  <si>
    <t>Подготовка земельного участка для строительства двух 4-х квартирных жилых домов в п. Красное  (МО «Приморско-Куйский сельсовет»)</t>
  </si>
  <si>
    <t>Подготовка земельного участка для строительства объекта "1-но комнатный жилой дом № 2 в МО «Приморско-Куйский сельсовет» Ненецкого автономного округа</t>
  </si>
  <si>
    <t>Подготовка земельного участка для строительства 4-х квартирного жилого дома в п. Красное  (МО «Приморско-Куйский сельсовет»)</t>
  </si>
  <si>
    <t xml:space="preserve">за 1 полугодие 2013 года  </t>
  </si>
  <si>
    <t xml:space="preserve">Утверждено ОБ      на 1 полугодие              2013 года </t>
  </si>
  <si>
    <r>
      <t xml:space="preserve">55.01.06 Реконструкция автомобильной дороги Морпорт - примыкание к федеральной дороге                                                       </t>
    </r>
    <r>
      <rPr>
        <sz val="9"/>
        <color indexed="53"/>
        <rFont val="Times New Roman"/>
        <family val="1"/>
      </rPr>
      <t>переходящий остаток за 2011 год</t>
    </r>
    <r>
      <rPr>
        <sz val="9"/>
        <color indexed="16"/>
        <rFont val="Times New Roman"/>
        <family val="1"/>
      </rPr>
      <t xml:space="preserve">                        </t>
    </r>
    <r>
      <rPr>
        <sz val="9"/>
        <color indexed="12"/>
        <rFont val="Times New Roman"/>
        <family val="1"/>
      </rPr>
      <t>переходящий остаток за 2012 год</t>
    </r>
  </si>
  <si>
    <t>освоение за счет остатков средств  2011г.</t>
  </si>
  <si>
    <t>освоение за счет остатков средств  2012г.</t>
  </si>
  <si>
    <t>(610604) Предоставление субсидий предприятиям АПК на возмещение расходов при финансировании мероприятий по предоставлению продукции на выставках и конкурсах</t>
  </si>
  <si>
    <t>(610605) Предоставление субсидий юр. лицам, осуществляющим производство электроэнергии в сельских населённых пунктах и её реализацию сельхозтоваропроизводителям, для возмещения убытков, возникающих в результате гос. регулирования тарифов на электроэнергию, и сельхозтоваропроизводителям, осуществляющим производство электроэнергии в сельских населённых пунктах и использующих её на нужды сельхозпроизводства</t>
  </si>
  <si>
    <t xml:space="preserve">(610602) Проведение праздника "День работника сельского хозяйства" </t>
  </si>
  <si>
    <t>(600200) Субсидии МО"Муниципальный район "Заполярный район"</t>
  </si>
  <si>
    <t>Управление финансов Ненецкого автономного округа</t>
  </si>
  <si>
    <t>Управление экономического развития Ненецкого автономного округа</t>
  </si>
  <si>
    <t>009</t>
  </si>
  <si>
    <t>(600602) 2. Субсидия на возмещение части затрат на уплату процентов по кредитам, полученным в кредитных организациях в 2011-2014 годах , на ремонт хлебопекарен, предприятий общественного питания, предприятий розничной торговли в сельских населённых пунктах с численностью жителей до 200 человек, на приобретение технологического оборудования для  хлебопечения, заготовительной деятельности, предприятий общественного питания и бытового обслуживания, торгового оборудования и техники для организации розничной торговли в сельских населённых пунктах с численностью жителей до 200 человек</t>
  </si>
  <si>
    <t>(600603) 3. Субсидии на возмещение части затрат по доставке продовольственных товаров  в сельские населённые пункты</t>
  </si>
  <si>
    <t>(600604) 4. Субсидии на возмещение части затрат на производство хлеба и хлебобулочных изделий в сельских населённых пунктах</t>
  </si>
  <si>
    <t>(600605) 5. Субсидии на возмещение части затрат по доставке хлеба и хлебобулочных изделий в сельские населённые пункты в случае отсутствия пекарен в указанных населённых пунктах или на период их ремонта</t>
  </si>
  <si>
    <t>(600606) 6. Субсидии на возмещение части затрат на электрическую, тепловую энергию и твёрдое топливо, потреблённые предприятиями общественного питания</t>
  </si>
  <si>
    <t>(600607) 7. Субсидии на возмещение части затрат на электрическую энергию и твёрдое топливо предприятиям розничной торговли  в сельских населённых пунктах с численностью жителей до 200 человек</t>
  </si>
  <si>
    <t>подпрограмма «Переселение граждан из жилищного фонда, признанного непригодным для проживания, и / или с высоким уровнем износа»</t>
  </si>
  <si>
    <t>подпрограмма «Обеспечение земельных участков коммунальной и транспортной инфраструктурами в целях жилищного строительства»</t>
  </si>
  <si>
    <t>подпрограмма «Меры социальной поддержки населения при кредитовании или заимствовании на приобретение (строительство) жилья»</t>
  </si>
  <si>
    <t>подпрограмма «Государственная поддержка жителей сельской местности при строительстве или газификации индивидуальных домов«</t>
  </si>
  <si>
    <t xml:space="preserve"> </t>
  </si>
  <si>
    <t>Долгосрочная целевая программа «Развитие энергетического комплекса Ненецкого автономного округа, обеспечение энергосбережения и повышение энергоэффективности региональной экономики на 2010 - 2015 годы»</t>
  </si>
  <si>
    <t>Долгосрочная целевая программа «Обеспечение населения Ненецкого автономного округа чистой водой»</t>
  </si>
  <si>
    <t>Долгосрочная целевая программа «Поддержка сельского потребительского рынка на территории  Ненецкого автономного округа на 2011 - 2015 годы»</t>
  </si>
  <si>
    <r>
      <t xml:space="preserve">подпрограмма </t>
    </r>
    <r>
      <rPr>
        <b/>
        <sz val="10"/>
        <rFont val="Times New Roman"/>
        <family val="1"/>
      </rPr>
      <t>«</t>
    </r>
    <r>
      <rPr>
        <b/>
        <i/>
        <sz val="10"/>
        <rFont val="Times New Roman"/>
        <family val="1"/>
      </rPr>
      <t>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</t>
    </r>
    <r>
      <rPr>
        <b/>
        <sz val="10"/>
        <rFont val="Times New Roman"/>
        <family val="1"/>
      </rPr>
      <t>»</t>
    </r>
  </si>
  <si>
    <t>Долгосрочная целевая программа Ненецкого автономного округа «Жилище» на 2011 - 2022 годы»</t>
  </si>
  <si>
    <t>Строительство и реконструкция пожарных водоемов</t>
  </si>
  <si>
    <t>Субсидии МО "Городской округ "Город Нарьян-Мар"</t>
  </si>
  <si>
    <t>Субсидии МО"Муниципальный район "Заполярный район"</t>
  </si>
  <si>
    <r>
      <t xml:space="preserve">в т.ч. Всего Бюджетные инвестиции                                 </t>
    </r>
    <r>
      <rPr>
        <sz val="8"/>
        <rFont val="Times New Roman"/>
        <family val="1"/>
      </rPr>
      <t xml:space="preserve"> из них</t>
    </r>
  </si>
  <si>
    <t xml:space="preserve"> бюджетные инвестиции в объекты гос.собственности</t>
  </si>
  <si>
    <t>КУ НАО "Централизованный стройзаказчик "</t>
  </si>
  <si>
    <t>бюджетные инвестиции в осуществление межмуниципальных инвест. Проектов (включая межбюджетку ЗР и г. Н-М)</t>
  </si>
  <si>
    <t>Управление здравоохранения Ненецкого автономного округа</t>
  </si>
  <si>
    <t>Другие вопросы в области здравоохранения</t>
  </si>
  <si>
    <t>Обеспечение функций казёнными учреждениями НАО</t>
  </si>
  <si>
    <t>Федеральный бюджет</t>
  </si>
  <si>
    <t>№ п.п.</t>
  </si>
  <si>
    <t>(тыс.рублей)</t>
  </si>
  <si>
    <t>Наименование</t>
  </si>
  <si>
    <t xml:space="preserve">Социальная политика </t>
  </si>
  <si>
    <t xml:space="preserve">Утверждено ОБ       на  1 полугодие 2013  </t>
  </si>
  <si>
    <t>(100601) 2. Предоставление субсидий на возмещение части затрат СПК на приобретение и поставку техники и оборудования</t>
  </si>
  <si>
    <t>за 1 полугодие 2013 года</t>
  </si>
  <si>
    <t>Утверждено ОБ        на 1 полугодие                  2013 года</t>
  </si>
  <si>
    <t>за 1 полугодие 2013 год</t>
  </si>
  <si>
    <t>Утверждено ОБ на 1 полугодие 2013 года</t>
  </si>
  <si>
    <t>(610609) Бюджетные инвестиции в форме капитальных вложений в основные средства ОАО «Вита»</t>
  </si>
  <si>
    <t xml:space="preserve">(610603) Исследование запасов водных биологических ресурсов внутренних водоёмов округа </t>
  </si>
  <si>
    <t xml:space="preserve">(610612) Проведение мелиоративных работ на оз. Голодная губа </t>
  </si>
  <si>
    <t>Поставка и монтаж морозильной камерышоковой заморозки для убойного пункта с производительностью до 150 голов в смену в п. Красное</t>
  </si>
  <si>
    <t xml:space="preserve">(610610) Предоставление субсидий в целях возмещения сельскохозяйственным товаропроизводителям, осуществляющим деятельность на территории НАО, части затрат по производству и реализации сельскохозяйственной продукции в 2012 году </t>
  </si>
  <si>
    <t>Субсидии в целях возмещения части затрат на ремонт здания фермы МКП "Омский ЖК"</t>
  </si>
  <si>
    <t>(610611) Предоставление субсидий юр. лицам, инд. предпринимателям, физ. лицам осуществляющим на территории НАО производство и реализацию молока населению по фиксированной цене</t>
  </si>
  <si>
    <t>(600609) 9. Субсидии на приобретение и поставку модульных пунктов питания в сельские населённые пункты</t>
  </si>
  <si>
    <t>(590401) 3.1. Строительство ветродизельного комплекса в п. Усть-Кара с разработкой ПСД</t>
  </si>
  <si>
    <t>(590402) Строительство ЛЭП п. Хорей-Вер - п. Харьягинский с разработкой ПСД</t>
  </si>
  <si>
    <t>590101;Субсидии на иные цели, в т.ч:</t>
  </si>
  <si>
    <t>установка коллективных (общедомовых) приборов учёта энергетических ресурсов в многоквартирных домах</t>
  </si>
  <si>
    <t>разработка схем теплоснабжения, водоснабжения и водоотведения города</t>
  </si>
  <si>
    <t>проведение энергетического обследования многоквартирных домов на территории МО "ГО "Город Нарьян-Мар"</t>
  </si>
  <si>
    <t>Утверждено ОБ на  1 полугодие 2013 года</t>
  </si>
  <si>
    <t>590221;Субсидии на иные цели, в т.ч:</t>
  </si>
  <si>
    <t>установка коллективных (общедомовых) приборов учёта энергетических ресурсов в многоквартирных домах МО "Рабочий посёлок Искателей"</t>
  </si>
  <si>
    <t>разработка схем теплоснабжения, водоснабжения и водоотведения п. Искателей</t>
  </si>
  <si>
    <t xml:space="preserve">МО"Городское поселение "Рабочий посёлок Искателей" </t>
  </si>
  <si>
    <r>
      <t>590301; Субсидии на иные цели (</t>
    </r>
    <r>
      <rPr>
        <i/>
        <sz val="8"/>
        <color indexed="16"/>
        <rFont val="Times New Roman"/>
        <family val="1"/>
      </rPr>
      <t>Проведение энергетического обследования многоквартирных домов на территории МО "городское поселение "Рабочий посёлок Искателей")</t>
    </r>
    <r>
      <rPr>
        <sz val="10"/>
        <color indexed="16"/>
        <rFont val="Times New Roman"/>
        <family val="1"/>
      </rPr>
      <t xml:space="preserve"> </t>
    </r>
  </si>
  <si>
    <t>за  1 полугодие 2013 года</t>
  </si>
  <si>
    <t>(580103) Реконструкция станции доочистки воды на ВНС-8, в г.Нарьян-Маре</t>
  </si>
  <si>
    <t>(580105) Реконструкция ГКНС, в г.Нарьян-Маре</t>
  </si>
  <si>
    <r>
      <t xml:space="preserve">(580101) Реконструкция II-й очереди канализационных очистных сооружений в г. Нарьян-Маре                                                                                              </t>
    </r>
    <r>
      <rPr>
        <sz val="10"/>
        <color indexed="12"/>
        <rFont val="Times New Roman"/>
        <family val="1"/>
      </rPr>
      <t>за счёт средств 2012 года</t>
    </r>
  </si>
  <si>
    <r>
      <t xml:space="preserve">(580102) Строительство очистных сооружений в п. Качгорт г.Нарьян-Мара                                                                                       </t>
    </r>
    <r>
      <rPr>
        <sz val="10"/>
        <color indexed="12"/>
        <rFont val="Times New Roman"/>
        <family val="1"/>
      </rPr>
      <t>за счёт средств 2012 года</t>
    </r>
  </si>
  <si>
    <r>
      <t xml:space="preserve">(580106) Строительство станции доочистки воды на ВНС-3 в г.Нарьян-Маре                                                                                                                    </t>
    </r>
    <r>
      <rPr>
        <sz val="10"/>
        <color indexed="12"/>
        <rFont val="Times New Roman"/>
        <family val="1"/>
      </rPr>
      <t>за счёт средств 2012 года</t>
    </r>
  </si>
  <si>
    <t>(580107) Реконструкция станции доочистки воды на ВНС-2 в г.Нарьян-Маре</t>
  </si>
  <si>
    <t>(580110) Перевод на полное благоустройство кварталов центральной части города Нарьян-Мара</t>
  </si>
  <si>
    <t>(580111) Перевод на полное благоустройство жилых домов в п. Новый в г.Нарьян-Маре</t>
  </si>
  <si>
    <r>
      <t>(580112) Субсидии на иные цели (</t>
    </r>
    <r>
      <rPr>
        <i/>
        <sz val="8"/>
        <color indexed="16"/>
        <rFont val="Times New Roman"/>
        <family val="1"/>
      </rPr>
      <t>Бурение спутниковых скважин на водозаборе "Озёрный"</t>
    </r>
    <r>
      <rPr>
        <sz val="8"/>
        <color indexed="16"/>
        <rFont val="Times New Roman"/>
        <family val="1"/>
      </rPr>
      <t>)</t>
    </r>
  </si>
  <si>
    <t>Геологические исследования и  разведка подземных вод в д. Пылемец</t>
  </si>
  <si>
    <t>Геологические исследования и  разведка подземных вод в с. Коткино</t>
  </si>
  <si>
    <t xml:space="preserve">Утверждено бюджетом субъекта РФ на 1 полугодие 2013 года </t>
  </si>
  <si>
    <t>Финансирование долгосрочных целевых программ за 1 полугодие 2013 года</t>
  </si>
  <si>
    <r>
      <t xml:space="preserve">подпрограмма </t>
    </r>
    <r>
      <rPr>
        <b/>
        <sz val="8"/>
        <color indexed="60"/>
        <rFont val="Arial"/>
        <family val="2"/>
      </rPr>
      <t>«</t>
    </r>
    <r>
      <rPr>
        <b/>
        <i/>
        <sz val="8"/>
        <color indexed="60"/>
        <rFont val="Times New Roman"/>
        <family val="1"/>
      </rPr>
      <t>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</t>
    </r>
    <r>
      <rPr>
        <b/>
        <sz val="8"/>
        <color indexed="60"/>
        <rFont val="Arial"/>
        <family val="2"/>
      </rPr>
      <t>»</t>
    </r>
  </si>
  <si>
    <t>подпрограмма «Строительство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помещения»</t>
  </si>
  <si>
    <t>Казённое учреждение Ненецкого автономного округа  «Централизованный стройзаказчик»</t>
  </si>
  <si>
    <t>МО «Городской округ «Город Нарьян-Мар»</t>
  </si>
  <si>
    <t>МО «Муниципальный район «Заполярный район»</t>
  </si>
  <si>
    <r>
      <t xml:space="preserve">51.11.01;  11 - секционный жилой дом по ул. Авиаторов в г. Нарьян-Маре, Ненецкого автономного округа                                                                                                                                                             </t>
    </r>
    <r>
      <rPr>
        <sz val="8"/>
        <color indexed="12"/>
        <rFont val="Times New Roman"/>
        <family val="1"/>
      </rPr>
      <t>за счёт средств 2012 года</t>
    </r>
  </si>
  <si>
    <r>
      <t xml:space="preserve">51.11.02;  Долевое участие в строительстве жилых помещений                                                                                                                </t>
    </r>
    <r>
      <rPr>
        <sz val="8"/>
        <color indexed="12"/>
        <rFont val="Times New Roman"/>
        <family val="1"/>
      </rPr>
      <t xml:space="preserve"> за счёт средств 2012 года</t>
    </r>
  </si>
  <si>
    <t xml:space="preserve"> За счёт средств 2012 года</t>
  </si>
  <si>
    <t>Всего расходов по долгосрочным целевым программам за счёт средств 2013 года</t>
  </si>
  <si>
    <t>"Формирование и регулирование рынка сельскохозяйственной продукции, сырья и продовольствия в Ненецком автономном округе на 2011 - 2017 годы"</t>
  </si>
  <si>
    <t>МО «Городское поселение «Рабочий посёлок Искателей» Ненецкого автономного округа</t>
  </si>
  <si>
    <t>Обустройство дворовой территории в районе Ленина, д. 27а, 27б</t>
  </si>
  <si>
    <t>Содержание памятников</t>
  </si>
  <si>
    <t>Обустройство дворовой территории в районе д. 4 по ул. 60 лет СССР</t>
  </si>
  <si>
    <t>Обустройство дворовой территории по ул. Ленина, д. 49</t>
  </si>
  <si>
    <t>Освоено*</t>
  </si>
  <si>
    <t>Полигон твердых бытовых отходов с рекультивацией существующей свалки, с корректировкой ПСД</t>
  </si>
  <si>
    <t>Установка светофора в районе Прокуратуры</t>
  </si>
  <si>
    <t>Внесение изменений в генеральный план города Нарьян-Мара</t>
  </si>
  <si>
    <t>Разработка местных нормативов градостроительного проектирования для г. Нарьян-Мар</t>
  </si>
  <si>
    <t>Проведение обязательного энергетического обследования объектов Нарьян-Марского МУ ПОК и ТС</t>
  </si>
  <si>
    <t>Проведение обязательного энергетического обследования объектов МУ "КБ и БО"</t>
  </si>
  <si>
    <r>
      <t xml:space="preserve">Предоставление субсидий за счёт средств окружного бюджета </t>
    </r>
    <r>
      <rPr>
        <b/>
        <sz val="10"/>
        <rFont val="Times New Roman"/>
        <family val="1"/>
      </rPr>
      <t>МО "Городской округ "Город Нарьян-Мар"</t>
    </r>
    <r>
      <rPr>
        <sz val="10"/>
        <rFont val="Times New Roman"/>
        <family val="1"/>
      </rPr>
      <t xml:space="preserve"> на софинансирование расходных обязательств, возникающих при выполнении полномочий по реализации муниципальных программ в области энергосбережения и повышения энергетической эффективности, организации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организации и проведения иных мероприятий, предусмотренных законодательством об энергосбережении и о повышении энергоэффективности</t>
    </r>
  </si>
  <si>
    <t>Целевая статья</t>
  </si>
  <si>
    <t>Глава</t>
  </si>
  <si>
    <t>Раздел</t>
  </si>
  <si>
    <t>Подраздел</t>
  </si>
  <si>
    <t>Всего расходов по долгосрочным целевым программам</t>
  </si>
  <si>
    <t>Вид расходов</t>
  </si>
  <si>
    <t>Долгосрочная целевая программа Ненецкого автономного округа "Жилище" на 2011 - 2022 годы</t>
  </si>
  <si>
    <t>522 51 00</t>
  </si>
  <si>
    <t>522 51 01</t>
  </si>
  <si>
    <t>подпрограмма "Переселение граждан из жилищного фонда, признанного непригодным для проживания, и / или с высоким уровнем износа"</t>
  </si>
  <si>
    <t>522 51 02</t>
  </si>
  <si>
    <t>подпрограмма "Обеспечение земельных участков коммунальной и транспортной инфраструктурами в целях жилищного строительства"</t>
  </si>
  <si>
    <t>522 51 03</t>
  </si>
  <si>
    <t>подпрограмма "Меры социальной поддержки населения при кредитовании или заимствовании на приобретение (строительство) жилья"</t>
  </si>
  <si>
    <t>522 51 04</t>
  </si>
  <si>
    <t>подпрограмма "Государственная поддержка жителей сельской местности при строительстве или газификации индивидуальных домов"</t>
  </si>
  <si>
    <t>522 51 05</t>
  </si>
  <si>
    <t>Управление строительства и жилищно-коммунального хозяйства Ненецкого автономного округа</t>
  </si>
  <si>
    <t>020</t>
  </si>
  <si>
    <t>Долгосрочная целевая программа "Социальное развитие села на территории Ненецкого автономного округа на 2009 - 2012 годы"</t>
  </si>
  <si>
    <t>522 52 00</t>
  </si>
  <si>
    <t>Социальная политика</t>
  </si>
  <si>
    <t>10</t>
  </si>
  <si>
    <t xml:space="preserve">Социальное обеспечение населения </t>
  </si>
  <si>
    <t>03</t>
  </si>
  <si>
    <t>Социальные выплаты</t>
  </si>
  <si>
    <t>005</t>
  </si>
  <si>
    <t>Фонд софинансирования</t>
  </si>
  <si>
    <t>010</t>
  </si>
  <si>
    <t>МО"Муниципальный район "Заполярный район"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</si>
  <si>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</si>
  <si>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</si>
  <si>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МО "Городской округ "Город Нарьян-Мар"</t>
  </si>
  <si>
    <t>Долгосрочная целевая программа "Развитие городского округа "Город Нарьян-Мар" на 2009 -2012 годы"</t>
  </si>
  <si>
    <t>522 55 00</t>
  </si>
  <si>
    <t>Прочие расходы</t>
  </si>
  <si>
    <t>013</t>
  </si>
  <si>
    <t>01</t>
  </si>
  <si>
    <t>Управление здравоохранения и социальной защиты населения Ненецкого автономного округа</t>
  </si>
  <si>
    <t>027</t>
  </si>
  <si>
    <t>09</t>
  </si>
  <si>
    <t>Стационарная медицинская помощь</t>
  </si>
  <si>
    <t>Здравоохранение</t>
  </si>
  <si>
    <t>02</t>
  </si>
  <si>
    <t>Бюджетные инвестиции</t>
  </si>
  <si>
    <t>003</t>
  </si>
  <si>
    <t>Долгосрочная целевая программа "Обеспечение населения Ненецкого автономного округа чистой водой"</t>
  </si>
  <si>
    <t>522 58 00</t>
  </si>
  <si>
    <t>МО"Муниципальный район"Заполярный район"</t>
  </si>
  <si>
    <t>522 59 00</t>
  </si>
  <si>
    <t>05</t>
  </si>
  <si>
    <t>Жилищно-коммунальное хозяйство</t>
  </si>
  <si>
    <t>Коммунальное хозяйство</t>
  </si>
  <si>
    <t>% освоения</t>
  </si>
  <si>
    <t>Управление международных и межрегиональных связей, информации и массовых коммуникаций Ненецкого автономного округа</t>
  </si>
  <si>
    <t>028</t>
  </si>
  <si>
    <t>12</t>
  </si>
  <si>
    <t>Средства массовой информации</t>
  </si>
  <si>
    <t>04</t>
  </si>
  <si>
    <t>Другие вопросы в области средств массовой информации</t>
  </si>
  <si>
    <t>Долгосрочная целевая программа "Поддержка сельского потребительского рынка на территории  Ненецкого автономного округа на 2011 - 2015 годы"</t>
  </si>
  <si>
    <t>522 60 00</t>
  </si>
  <si>
    <t>Управление финансов и экономического развития Ненецкого автономного округа</t>
  </si>
  <si>
    <t>006</t>
  </si>
  <si>
    <t>Долгосрочная целевая программа "Формирование и регулирование рынка сельскохозяйственной продукции, сырья и продовольствия в Ненецком автономном округе на 2011 - 2015 годы"</t>
  </si>
  <si>
    <t>522 61 00</t>
  </si>
  <si>
    <t>Национальная экономика</t>
  </si>
  <si>
    <t>Другие вопросы в области национальной экономики</t>
  </si>
  <si>
    <t>024</t>
  </si>
  <si>
    <t>Сельское хозяйство и рыболовство</t>
  </si>
  <si>
    <t>Амбулаторная помощь</t>
  </si>
  <si>
    <t>Жилищное хозяйство</t>
  </si>
  <si>
    <t>Другие вопросы в области жилищно-коммунального хозяйства</t>
  </si>
  <si>
    <t>Социальное обеспечение населения</t>
  </si>
  <si>
    <t>МО "Городское поселение "Рабочий посёлок Искателей"</t>
  </si>
  <si>
    <t>Общегосударственные вопросы</t>
  </si>
  <si>
    <t>Другие общегосударственные вопросы</t>
  </si>
  <si>
    <t>% освоения всего</t>
  </si>
  <si>
    <t>Внебюджетные источники</t>
  </si>
  <si>
    <t>% освоения   Всего</t>
  </si>
  <si>
    <t xml:space="preserve">% освоения Всего </t>
  </si>
  <si>
    <t>% освоения Всего</t>
  </si>
  <si>
    <t xml:space="preserve"> освоено за счет средств 2012г</t>
  </si>
  <si>
    <t>Долгосрочная целевая программа "Развитие энергетического комплекса Ненецкого автономного округа, обеспечение энергосбережения и повышение энергоэффективности региональной экономики на 2010 - 2015 годы"</t>
  </si>
  <si>
    <t>13</t>
  </si>
  <si>
    <t>Управление государственного имущества Ненецкого автономного округа</t>
  </si>
  <si>
    <t xml:space="preserve">Фонд софинансирования </t>
  </si>
  <si>
    <t>План на год</t>
  </si>
  <si>
    <t>Исполнено</t>
  </si>
  <si>
    <t>Освоено</t>
  </si>
  <si>
    <t>в том числе:</t>
  </si>
  <si>
    <t>Всего на год</t>
  </si>
  <si>
    <t>Бюджет субъекта РФ</t>
  </si>
  <si>
    <t>Бюджет МО</t>
  </si>
  <si>
    <t>Реализация долгосрочной целевой программы</t>
  </si>
  <si>
    <t>(тыс. рублей)</t>
  </si>
  <si>
    <t>Ненецкого автономного округа "Жилище" на 2011 - 2022 годы</t>
  </si>
  <si>
    <t>Всего по Программе</t>
  </si>
  <si>
    <t xml:space="preserve">МО"Муниципальный район "Заполярный район" </t>
  </si>
  <si>
    <t>Внебюджетные</t>
  </si>
  <si>
    <t>Реализация долгосрочных целевых программ</t>
  </si>
  <si>
    <t>650</t>
  </si>
  <si>
    <t>"Обеспечение населения Ненецкого автономного округа чистой водой"</t>
  </si>
  <si>
    <t>и повышение энергоэффективности региональной экономики на 2010 - 2015 годы"</t>
  </si>
  <si>
    <t>"Развитие энергетического комплекса Ненецкого автономного округа, обеспечение энергосбережения</t>
  </si>
  <si>
    <t>"Поддержка сельского потребительского рынка на территории  Ненецкого автономного округа на 2011 - 2015 годы"</t>
  </si>
  <si>
    <t>подпрограмма "Государственная поддержка граждан, выезжающих из НАО"</t>
  </si>
  <si>
    <t>522 51 06</t>
  </si>
  <si>
    <t>523 51 06</t>
  </si>
  <si>
    <t>подпрограмма «Государственная поддержка граждан, выезжающих из Ненецкого автономного округа"</t>
  </si>
  <si>
    <t>Ненецкого автономного округа</t>
  </si>
  <si>
    <t>Субсидии юридическим лицам</t>
  </si>
  <si>
    <t>Дорожное хозяйство (дорожные фонды)</t>
  </si>
  <si>
    <t>План</t>
  </si>
  <si>
    <t>Обеспечение функций казёнными учреждениями Ненецкого автономного округа</t>
  </si>
  <si>
    <t>% исполнения</t>
  </si>
  <si>
    <t>Казённое учреждение Ненецкого автономного округа "Централизованный стройзаказчик"</t>
  </si>
  <si>
    <t>МО "Городское поселение "Рабочий посёлок Искателей" Ненецкого автономного округа</t>
  </si>
  <si>
    <t>МО "Муниципальный район "Заполярный район"</t>
  </si>
  <si>
    <t>1.1.</t>
  </si>
  <si>
    <t>1.2.</t>
  </si>
  <si>
    <t>1.3.</t>
  </si>
  <si>
    <t>1.4.</t>
  </si>
  <si>
    <t>1.5.</t>
  </si>
  <si>
    <t>Управление по агропромышленному комплексу и ветеринарии Ненецкого автономного округа</t>
  </si>
  <si>
    <t>Всего</t>
  </si>
  <si>
    <t>% финанс-я ОБ</t>
  </si>
  <si>
    <t>Реализация окружной программы</t>
  </si>
  <si>
    <t>"Развитие торговли на территории Ненецкого автономного округа на 2013 - 2015 годы"</t>
  </si>
  <si>
    <t>Региональные целевые программы</t>
  </si>
  <si>
    <t>522 10 00</t>
  </si>
  <si>
    <t>522 00 00</t>
  </si>
  <si>
    <t>522 11 00</t>
  </si>
  <si>
    <t>Окружная программа "Развитие торговли на территории Ненецкого автономного округа на 2013-2015 годы"</t>
  </si>
  <si>
    <t>(110201) 1. Предоставление субсидий на возмещение части расходов на приобретение и поставку модульных зданий магазинов</t>
  </si>
  <si>
    <t>(110202) 2. Предоставление субсидий на возмещение расходов, связанных с доставкой лекарственных препаратов и изделий медицинского назначения, молочных смесей и каш, сухого молока в сельские населённые пункты</t>
  </si>
  <si>
    <t>(110203) 3. Предоставление субсидий на приобретение и поставку транспортных средств для субъектов торговли в сельские населённые пункты</t>
  </si>
  <si>
    <t>(110601) 4.2. Проведение конкурса "Лучшее предприятие торговли", "Лучший работник торговой отрасли"</t>
  </si>
  <si>
    <t>Реализация экономически значимой региональной программы развития традиционной для Ненецкого автономного округа подотрасли сельского хозяйства</t>
  </si>
  <si>
    <t>"Развитие северного оленеводства в Ненецком автономном округе на 2013 - 2017 годы"</t>
  </si>
  <si>
    <t>ЭЗРП развития традиционной для НАО подотрасли сельского хозяйства "Развитие северного оленеводства в Ненецком автономном округе на 2013-2017 годы"</t>
  </si>
  <si>
    <t>(100608) 1. Предоставление бюджетных инвестиций ОАО "Мясопродукты" на приоретение, поставку и монтаж технологических комплексов по убою и первичной переработке оленей с морозильными ёмкостями в местах убоя оленей в населённых пунктах НАО: район причала Варандейского терминала, п. Индига</t>
  </si>
  <si>
    <t>(100602) 3. Предоставление субсидий на возмещение части затрат СПК на проведение геоботанического обследования пастбищ и разработку проектов внутрихозяйственного землеустройства территории оленьих пастбищ оленеводческих хозяйств</t>
  </si>
  <si>
    <t>(100603) 4. Предоставление субсидий сельхозтоваропроизводителям на возмещение части затрат на проведение просчётов поголовья оленей</t>
  </si>
  <si>
    <t>(100604) 5. Предоставление субсидий с/х товаропроизводителям на возмещение части затрат по авиационному обеспечению организации проведения зоотехнических мероприятий в оленеводстве и охраны оленьих стад от хищников</t>
  </si>
  <si>
    <t>51.21.02; Мероприятия по сносу МКД</t>
  </si>
  <si>
    <t>51.22.02; Мероприятия по сносу МКД</t>
  </si>
  <si>
    <t>51.26.07; Выполнение работ по завершению строительства 4-х квартирного жилого дома №1 в с.Шойна</t>
  </si>
  <si>
    <t>51.26.08; Выполнение работ по завершению строительства 4-х квартирного жилого дома №2 в с. Шойна</t>
  </si>
  <si>
    <t>51.24.02; Долевое участие в строительстве жилых помещений</t>
  </si>
  <si>
    <t>51.24.03; 7-ми секционный жилой дом по ул. Авиаторов в г. Нарьян-Маре</t>
  </si>
  <si>
    <t>51.24.04; 4-х секционный жилой дом по ул. Авиаторов в г. Нарьян- Маре</t>
  </si>
  <si>
    <t>51.24.05; 6-ти секционный жилой дом по ул. Авиаторов в г. Нарьян-Маре</t>
  </si>
  <si>
    <t>51.24.06; 24-х кв. дом № 1 по ул. Поморской  в п. Искателей</t>
  </si>
  <si>
    <t>51.24.07; 24-х кв. дом № 2 по ул.Поморской в п. Искателей</t>
  </si>
  <si>
    <t>51.24.10; 36-и квартирный жилой дом по ул Гелогов в районе д №5 в п. Искателей</t>
  </si>
  <si>
    <t>51.24.11; Строительство объекта "2-х квартирный жилой дом № 1 в п. Индига"</t>
  </si>
  <si>
    <t>51.24.12; Строительство объекта "2-х квартирный жилой дом № 2 в п. Индига"</t>
  </si>
  <si>
    <t>51.24.14; 4-х квартирный жилой дом в п. Каратайка, привязка типовой проектной документации</t>
  </si>
  <si>
    <t>51.24.16; Корректировка проектной документации на строительство объекта "4-х квартирный жилой дом в п. Хорей-Вер"</t>
  </si>
  <si>
    <t>За счёт средств 2011 года: Снос жилищного фонда, непригодного для проживания, и/или с высоким уровнем износа</t>
  </si>
  <si>
    <t>За счёт средств 2011 года</t>
  </si>
  <si>
    <r>
      <t xml:space="preserve">51.13.02; Привязка и строительство 36-и квартирного жилого дома по ул. Ардалина, район дома № 10                                                                                    </t>
    </r>
    <r>
      <rPr>
        <sz val="8"/>
        <color indexed="12"/>
        <rFont val="Times New Roman"/>
        <family val="1"/>
      </rPr>
      <t xml:space="preserve"> За счёт средств 2012 года</t>
    </r>
  </si>
  <si>
    <r>
      <t xml:space="preserve">51.13.03; Привязка и строительство 24-х квартирного жилого дома по ул. Губкина, район дома № 1"Б"                                                                                            </t>
    </r>
    <r>
      <rPr>
        <sz val="8"/>
        <color indexed="12"/>
        <rFont val="Times New Roman"/>
        <family val="1"/>
      </rPr>
      <t>За счёт средств 2012 года</t>
    </r>
  </si>
  <si>
    <t>51.13.05; Привязка и строительство 36-и квартирного жилого дома по ул. Озёрная</t>
  </si>
  <si>
    <r>
      <t xml:space="preserve">(580204) Строительство очистных сооружений производительностью 2500 куб. м. в сутки в п. Искателей                                                                                                           </t>
    </r>
    <r>
      <rPr>
        <sz val="10"/>
        <color indexed="12"/>
        <rFont val="Times New Roman"/>
        <family val="1"/>
      </rPr>
      <t>за счёт средств 2012 года</t>
    </r>
  </si>
  <si>
    <t xml:space="preserve"> За счёт средств 2012 года (Привязка и строительство 36-кв жилого дома по ул. Нефтяников, район дома № 28)</t>
  </si>
  <si>
    <t>за счет средств 2011г</t>
  </si>
  <si>
    <t>за счет средств 2012г</t>
  </si>
  <si>
    <t xml:space="preserve"> за счет средств 2012г</t>
  </si>
  <si>
    <t>1.6.</t>
  </si>
  <si>
    <t>(100605) 6. Предоставление субсидий на возмещение части расходов с/х товаропроизводителям при подготовке специалистов по заочной форме обучения для оленеводческих хозяйств</t>
  </si>
  <si>
    <t>(100606) 7. Проведение курсов повышения квалификации, семинаров, совещаний по вопросам развития оленеводства</t>
  </si>
  <si>
    <t>(100607) 8. Проведение научных исследований в оленеводстве</t>
  </si>
  <si>
    <t>(610608) Бюджетные инвестиции в форме капитальных вложений в основные средства ОАО «Мясопродукты» (приобретение основных средств)</t>
  </si>
  <si>
    <t>отдел ФПС</t>
  </si>
  <si>
    <t>Средства ФБ</t>
  </si>
  <si>
    <t>Бюджетные инвестиции иным юридическим лицам</t>
  </si>
  <si>
    <t>456</t>
  </si>
  <si>
    <t>(610401) Реконструкция теплицы производственной площадью 0,56 га для выращивания овощной продукции в г. Нарьян-Маре Ненецкого автономного округа</t>
  </si>
  <si>
    <t>(610402) Разработка ПСД на реконструкцию тепличного комбината в г. Нарьян-Мар</t>
  </si>
  <si>
    <t>(610403) Строительство фермы на 600 голов в п. Факел</t>
  </si>
  <si>
    <t>(610404) Строительство коридора для тепличного комбината в г.Нарьян-Маре, с разработкой проектной документации</t>
  </si>
  <si>
    <t>(610406) Строительство сельскохозяйственного рынка с разработкой ПСД</t>
  </si>
  <si>
    <t>(610209) Разработка ПСД на строительство фермы на 400 голов, в том числе 200 коров в с. Коткино</t>
  </si>
  <si>
    <t>(610211) Строительство объекта "Рыбоприёмный пункт в с.Несь Ненецкого автономного округа"</t>
  </si>
  <si>
    <t>(610213) Строительство фермы  на 50 голов в с.Ома</t>
  </si>
  <si>
    <t>816</t>
  </si>
  <si>
    <t>(610606) Разработка проектной документации строительства рыбоводного завода для воспроизводства и восполнения запасов сиговых видов рыб на р. Куя в районе о. Харитоново</t>
  </si>
  <si>
    <t>(610607) Строительство рыбоперерабатывающего завода в г. Нарьян-Маре</t>
  </si>
  <si>
    <t>(610204) Субсидии на иные цели</t>
  </si>
  <si>
    <t>Поставка вездехода (снегоболотохода) в п. Индига</t>
  </si>
  <si>
    <t>Поставка катера класса "Река-море" в с. Ома</t>
  </si>
  <si>
    <t>Поставка гусеничного трактора ДТ-75 (с бульдозерным оборудованием типа ДЗ-42) в с. Ома</t>
  </si>
  <si>
    <t>Поставка колёсного трактора МТЗ-82 в с. Ома</t>
  </si>
  <si>
    <t>Поставка 2-х косилок КРН (роторная навесная) в с. Ома</t>
  </si>
  <si>
    <t>Поставка и монтаж холодильной камеры, объёмом не менее 140 м. куб. в п. Харута</t>
  </si>
  <si>
    <t>51.60.00; Государственная поддержка граждан, выезжающих из НАО по подпрогр. 522 51 06</t>
  </si>
  <si>
    <t>51.56.01; Предоставление участникам подпрограммы социальных выплат на строительство (завершение ранее начатого строительства) индивидуальных домов</t>
  </si>
  <si>
    <t>51.56.02; Предоставление жителям сельской местности социальных выплат на компенсацию части расходов по газификации индивидуальных домов</t>
  </si>
  <si>
    <t>51.46.02; Информирование населения, в т.ч. через СМИ</t>
  </si>
  <si>
    <t>51.46.01; Социальные выплаты</t>
  </si>
  <si>
    <t>51.31.02; Обеспечение земельных участков инженерной инфраструктурой в районе ул. Авиаторов в г. Нарьян-Маре</t>
  </si>
  <si>
    <t>51.31.06; Субсидии на иные цели:</t>
  </si>
  <si>
    <t>Разработка проектов планировки территории и проектов межевания земельных участков, планируемых к предоставлению многодетным семьям под жилищное строительство</t>
  </si>
  <si>
    <t>Разработка проектов по обеспечению инженерной инфраструктурой земельных участков, планируемых к предоставлению многодетным семьям под жилищное строительство</t>
  </si>
  <si>
    <t>Разработка проектов по обеспечению транспортной инфраструктурой земельных участков, планируемых к предоставлению многодетным семьям под жилищное строительство</t>
  </si>
  <si>
    <t>За счёт средств 2012 года (Субсидии на иные цели):</t>
  </si>
  <si>
    <t>Инженерные изыскания территории застройки в районе п. Лесозавод в г. Нарьян-Маре</t>
  </si>
  <si>
    <t>51.31.07; Вертикальная планировка земельных участков в районе "Старый аэропорт" (ул. Авиаторов) для предоставления гражданам, имеющим трёх и более детей</t>
  </si>
  <si>
    <t>51.31.08; Вертикальная планировка земельных участков в районе  ул. Заводская для предоставления гражданам, имеющим трёх и более детей</t>
  </si>
  <si>
    <t>51.32.03; Строительство инженерных сетей для обеспечения ввода домов по ул. Поморская в п. Искателей МО "городское поселение "Рабочий посёлок Искателей"</t>
  </si>
  <si>
    <t>51.32.01; Строительство внутрипоселковых дорог с разработкой ПСД в с. Несь МО "Канинский сельсовет"</t>
  </si>
  <si>
    <t>51.32.02; Субсидии на иные цели:</t>
  </si>
  <si>
    <t>Подготовка земельного участка для строительства 2-х квартирного жилого дома  №1  (МО «Андегский сельсовет»)</t>
  </si>
  <si>
    <t>Подготовка земельного участка для строительства 2-х квартирного жилого дома  №2  (МО «Андегский сельсовет»)</t>
  </si>
  <si>
    <t>Подготовка земельного участка для строительства 2-х квартирного жилого дома  №3  (МО «Андегский сельсовет»)</t>
  </si>
  <si>
    <t>Подготовка земельного участка для строительства 4-х квартирного жилого дома  №2  (МО «Канинский сельсовет»)</t>
  </si>
  <si>
    <t>Подготовка земельного участка для строительства 4-х квартирного жилого дома  №3  (МО «Канинский сельсовет»</t>
  </si>
  <si>
    <t>Подготовка земельного участка для строительства 4-х квартирного жилого дома  №4  (МО «Канинский сельсовет»)</t>
  </si>
  <si>
    <t>Осушение территории с.Несь Ненецкого автономного округа, разработка проектной документации</t>
  </si>
  <si>
    <t>Поставка самоходной баржи в п. Бугрино</t>
  </si>
  <si>
    <t>Поставка и монтаж холодильной камеры, объёмом не менее 140 м. куб. в п. Бугрино</t>
  </si>
  <si>
    <t>Поставка и монтаж холодильной камеры, объёмом 30 м. куб. в д. Кия</t>
  </si>
  <si>
    <t>Поставка и монтаж холодильной камеры, объёмом 30 м. куб. в Каратайка</t>
  </si>
  <si>
    <t>Поставка бульдозера в с. Несь</t>
  </si>
  <si>
    <t>Поставка снегоболотохода ГАЗ в с. Несь</t>
  </si>
  <si>
    <t>Поставка снегоболотохода БОБР в с. Несь</t>
  </si>
  <si>
    <t>Поставка снегоболотохода ГАЗ в п. Нижняя Пёша</t>
  </si>
  <si>
    <t>Субсидии в целях возмещения части затрат на с/х продукцию, произведённую и реализованную МКП</t>
  </si>
  <si>
    <t>ВБИ</t>
  </si>
  <si>
    <t>Строительство рыбоперерабатывающего завода в г. Нарьян-Маре</t>
  </si>
  <si>
    <t>Долгосрочная целевая программа «Государственная поддержка муниципальных образований по развитию инженерной инфраструктуры в сфере с обращения с отходами производства и потребления на 2012 - 2015 годы»</t>
  </si>
  <si>
    <t>522 66 00</t>
  </si>
  <si>
    <t>(660100) Субсидии МО "Городской округ "Город Нарьян-Мар"</t>
  </si>
  <si>
    <t>(660101) Субсидии на иные цели</t>
  </si>
  <si>
    <t>(660200) Субсидии МО "Муниципальный район "Заполярный район"</t>
  </si>
  <si>
    <t>(660201) Строительство площадки временного размещения  отходов в с. Тельвиска</t>
  </si>
  <si>
    <t>(660202) Строительство площадки временного размещения  отходов в д. Макарово</t>
  </si>
  <si>
    <t>(660203) Строительство площадки временного размещения  отходов в п. Индига</t>
  </si>
  <si>
    <t>(660204) Строительство контейнерных площадок, с разработкой ПСД в п. Искателей</t>
  </si>
  <si>
    <t>(660205) Субсидии на иные цели</t>
  </si>
  <si>
    <t>Разработка генеральной схемы санитарной очистки города</t>
  </si>
  <si>
    <t>Приобретение  и установка контейнеров для сбора отходов в п. Искателей</t>
  </si>
  <si>
    <t>Приобретение  транспорта для вывоза отходов в п. Искателей</t>
  </si>
  <si>
    <t>Приобретение  и поставка комплекса термического обезвреживания КТО-50К20 в с. Тельвиска</t>
  </si>
  <si>
    <t>Приобретение  и поставка комплекса термического обезвреживания КТО-50 в д. Макарово</t>
  </si>
  <si>
    <t>Приобретение  и установка контейнеров для сбора отходов</t>
  </si>
  <si>
    <t xml:space="preserve">"Государственная поддержка муниципальных образований по развитию инженерной инфраструктуры в сфере обращения </t>
  </si>
  <si>
    <t xml:space="preserve"> с отходами производства и потребления на 2012-2015 годы"</t>
  </si>
  <si>
    <t>МО"Городской округ "Город Нарьян-Мар"</t>
  </si>
  <si>
    <t>(580108) Строительство блочных локальных очистных сооружений (БЛОС) по ул. Бондарная в г. Нарьян-Маре</t>
  </si>
  <si>
    <t>(580201) Строительство водозабора из поверхностного источника в п. Усть-Кара, с разработкой ПСД</t>
  </si>
  <si>
    <t>Поставка системы водоподготовки для водозабора п. Искаиелей</t>
  </si>
  <si>
    <t>(580214) Субсидии на иные цели:</t>
  </si>
  <si>
    <t>Лимиты 2012 года:</t>
  </si>
  <si>
    <t>Разработка ПСД на строительство канализационного коллектора в п. Искателей</t>
  </si>
  <si>
    <t>Субсидии на иные в т.ч:</t>
  </si>
  <si>
    <t>Строительство водопровода с разработкой ПСД в п. Харута</t>
  </si>
  <si>
    <t>итого за счёт средств 2012 года</t>
  </si>
  <si>
    <t>итого за счёт средств 2011 года</t>
  </si>
  <si>
    <t>Лимиты 2011 года:</t>
  </si>
  <si>
    <t>(520405) Автомобильная дорога общего пользования регионального значения  с.Несь - г.Мезень на участке Несь - граница НАО, разработка предпроектной документации (обоснование инвестиций в строительство объекта)</t>
  </si>
  <si>
    <t>(520406) Автомобильная дорога общего пользования межмуниципального значения  в г.Нарьян-Мар - д.Тошвиска, разработка предпроектной документации (обоснование инвестиций в строительство объекта)</t>
  </si>
  <si>
    <t>(520402) Строительство автомобильной дороги Нарьян-Мар-Тельвиска с подготовкой проектной документации</t>
  </si>
  <si>
    <t>815</t>
  </si>
  <si>
    <t>(520404) Строительство участковой больницы на 10 коек с разработкой ПСД в п. Хорей-Вер</t>
  </si>
  <si>
    <t>(520407) ФАП в поселке Варнек, разработка проектной документации</t>
  </si>
  <si>
    <t>за счет остатков средств 2012г</t>
  </si>
  <si>
    <t>за счет остатков средств 2011г</t>
  </si>
  <si>
    <r>
      <t xml:space="preserve">(610601) Бюджетные инвестиции в форме капитальных вложений в основные средства ОАО «Мясопродукты» (реконструкция)                                                                                                                 </t>
    </r>
    <r>
      <rPr>
        <sz val="9"/>
        <color indexed="12"/>
        <rFont val="Times New Roman"/>
        <family val="1"/>
      </rPr>
      <t xml:space="preserve"> за счёт средств 2012 года</t>
    </r>
  </si>
  <si>
    <t>за счёт остатков средств 2012г</t>
  </si>
  <si>
    <t>за счет остатков средств 2012 г</t>
  </si>
  <si>
    <t>590105;Разработка ПСД на реконструкцию объекта "Котельная № 9 по ул. Ленина 4 А"</t>
  </si>
  <si>
    <t>590217;Строительство ДЭС (п. Индига) МО «Тиманский сельсовет» Ненецкого автономного округа</t>
  </si>
  <si>
    <t>590219;Строительство ДЭС (д. Кия) МО «Шоинский сельсовет» Ненецкого автономного округа</t>
  </si>
  <si>
    <t>590234;Реконструкция ЛЭП 0,4 кВ, 10 Кв, трансформаторных подстанций в с. Ома, Ненецкий автономный округ МО "Омский сельсовет" Ненецкого автономного округа</t>
  </si>
  <si>
    <t>590235;Реконструкция ЛЭП 0,4 кВ, 10 Кв, трансформаторных подстанций в с.Нижняя Пёша , Ненецкий автономный округ МО "Пёшский сельсовет" Ненецкого автономного округа</t>
  </si>
  <si>
    <t>590237;Разработка проектной документации для газификации д. Лабожское МО "Великовисочный сельсовет" Ненецкого автономного округа</t>
  </si>
  <si>
    <t>590238;Разработка проектной документации для газификации с. Великовисочное МО "Великовисочный сельсовет" Ненецкого автономного округа</t>
  </si>
  <si>
    <t>590239;Разработка проектной документации для газификации с. Оксино МО "Пустозерский сельсовет" Ненецкого автономного округа</t>
  </si>
  <si>
    <t>590240;Разработка проектной документации для газификации д. Устье МО "Тельвисочный сельсовет" Ненецкого автономного округа</t>
  </si>
  <si>
    <t>590241;Реконструкция ЛЭП в д. Пылемец МО "Великовисочный сельсовет" Ненецкого автономного округа</t>
  </si>
  <si>
    <t>590242;Реконструкция ЛЭП в д. Андег МО "Андегский сельсовет" Ненецкого автономного округа</t>
  </si>
  <si>
    <t>590243;Реконструкция участка ЛЭП от дома № 48 до дома № 75 в с. Тельвиска МО "Тельвисочный сельсовет" Ненецкого автономного округа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</si>
</sst>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"/>
    <numFmt numFmtId="166" formatCode="0.0"/>
    <numFmt numFmtId="167" formatCode="00\.00\.0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000\.00\.000\.0"/>
    <numFmt numFmtId="174" formatCode="_-* #,##0.0_р_._-;\-* #,##0.0_р_._-;_-* &quot;-&quot;?_р_._-;_-@_-"/>
    <numFmt numFmtId="175" formatCode="#,##0.0_ ;\-#,##0.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9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10"/>
      <color indexed="60"/>
      <name val="Times New Roman"/>
      <family val="1"/>
    </font>
    <font>
      <sz val="10"/>
      <name val="Arial"/>
      <family val="0"/>
    </font>
    <font>
      <sz val="8"/>
      <color indexed="60"/>
      <name val="Arial"/>
      <family val="2"/>
    </font>
    <font>
      <sz val="8"/>
      <name val="Times New Roman"/>
      <family val="1"/>
    </font>
    <font>
      <sz val="8"/>
      <color indexed="12"/>
      <name val="Arial"/>
      <family val="2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i/>
      <sz val="8"/>
      <color indexed="60"/>
      <name val="Times New Roman"/>
      <family val="1"/>
    </font>
    <font>
      <b/>
      <i/>
      <sz val="8"/>
      <name val="Times New Roman"/>
      <family val="1"/>
    </font>
    <font>
      <sz val="10"/>
      <color indexed="16"/>
      <name val="Times New Roman"/>
      <family val="1"/>
    </font>
    <font>
      <sz val="7"/>
      <name val="Arial"/>
      <family val="2"/>
    </font>
    <font>
      <sz val="7"/>
      <name val="Arial Cyr"/>
      <family val="0"/>
    </font>
    <font>
      <sz val="8"/>
      <color indexed="17"/>
      <name val="Times New Roman"/>
      <family val="1"/>
    </font>
    <font>
      <sz val="8"/>
      <color indexed="60"/>
      <name val="Times New Roman"/>
      <family val="1"/>
    </font>
    <font>
      <sz val="9"/>
      <color indexed="60"/>
      <name val="Times New Roman"/>
      <family val="1"/>
    </font>
    <font>
      <sz val="9"/>
      <color indexed="16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color indexed="6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60"/>
      <name val="Times New Roman"/>
      <family val="1"/>
    </font>
    <font>
      <sz val="8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60"/>
      <name val="Times New Roman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8"/>
      <color indexed="17"/>
      <name val="Times New Roman"/>
      <family val="1"/>
    </font>
    <font>
      <b/>
      <sz val="10"/>
      <name val="Arial Cyr"/>
      <family val="0"/>
    </font>
    <font>
      <sz val="10"/>
      <color indexed="60"/>
      <name val="Arial Cyr"/>
      <family val="0"/>
    </font>
    <font>
      <b/>
      <sz val="9"/>
      <color indexed="60"/>
      <name val="Times New Roman"/>
      <family val="1"/>
    </font>
    <font>
      <i/>
      <sz val="8"/>
      <color indexed="60"/>
      <name val="Times New Roman"/>
      <family val="1"/>
    </font>
    <font>
      <sz val="10"/>
      <color indexed="16"/>
      <name val="Arial Cyr"/>
      <family val="0"/>
    </font>
    <font>
      <i/>
      <sz val="10"/>
      <color indexed="16"/>
      <name val="Times New Roman"/>
      <family val="1"/>
    </font>
    <font>
      <i/>
      <sz val="10"/>
      <color indexed="16"/>
      <name val="Arial Cyr"/>
      <family val="0"/>
    </font>
    <font>
      <i/>
      <sz val="9"/>
      <color indexed="16"/>
      <name val="Times New Roman"/>
      <family val="1"/>
    </font>
    <font>
      <i/>
      <sz val="8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6"/>
      <name val="Arial Cyr"/>
      <family val="0"/>
    </font>
    <font>
      <i/>
      <sz val="10"/>
      <name val="Arial Cyr"/>
      <family val="0"/>
    </font>
    <font>
      <i/>
      <sz val="8"/>
      <color indexed="12"/>
      <name val="Times New Roman"/>
      <family val="1"/>
    </font>
    <font>
      <sz val="10"/>
      <color indexed="53"/>
      <name val="Times New Roman"/>
      <family val="1"/>
    </font>
    <font>
      <i/>
      <sz val="10"/>
      <color indexed="53"/>
      <name val="Times New Roman"/>
      <family val="1"/>
    </font>
    <font>
      <sz val="9"/>
      <color indexed="12"/>
      <name val="Times New Roman"/>
      <family val="1"/>
    </font>
    <font>
      <sz val="9"/>
      <color indexed="53"/>
      <name val="Times New Roman"/>
      <family val="1"/>
    </font>
    <font>
      <sz val="8"/>
      <color indexed="16"/>
      <name val="Times New Roman"/>
      <family val="1"/>
    </font>
    <font>
      <sz val="9"/>
      <color indexed="10"/>
      <name val="Times New Roman"/>
      <family val="1"/>
    </font>
    <font>
      <b/>
      <sz val="10"/>
      <color indexed="53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53"/>
      <name val="Times New Roman"/>
      <family val="1"/>
    </font>
    <font>
      <sz val="8"/>
      <color indexed="53"/>
      <name val="Times New Roman"/>
      <family val="1"/>
    </font>
    <font>
      <sz val="11"/>
      <color indexed="12"/>
      <name val="Times New Roman"/>
      <family val="1"/>
    </font>
    <font>
      <b/>
      <sz val="8"/>
      <color indexed="12"/>
      <name val="Arial"/>
      <family val="0"/>
    </font>
    <font>
      <b/>
      <sz val="8"/>
      <color indexed="60"/>
      <name val="Times New Roman"/>
      <family val="1"/>
    </font>
    <font>
      <sz val="9"/>
      <color indexed="17"/>
      <name val="Times New Roman"/>
      <family val="1"/>
    </font>
    <font>
      <i/>
      <sz val="8"/>
      <color indexed="60"/>
      <name val="Arial"/>
      <family val="2"/>
    </font>
    <font>
      <i/>
      <sz val="8"/>
      <color indexed="16"/>
      <name val="Arial"/>
      <family val="0"/>
    </font>
    <font>
      <b/>
      <sz val="8"/>
      <color indexed="16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0" fillId="0" borderId="0">
      <alignment/>
      <protection/>
    </xf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716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24" borderId="12" xfId="0" applyFont="1" applyFill="1" applyBorder="1" applyAlignment="1">
      <alignment/>
    </xf>
    <xf numFmtId="49" fontId="6" fillId="24" borderId="13" xfId="0" applyNumberFormat="1" applyFont="1" applyFill="1" applyBorder="1" applyAlignment="1">
      <alignment horizontal="center" vertical="center" wrapText="1"/>
    </xf>
    <xf numFmtId="164" fontId="6" fillId="24" borderId="13" xfId="0" applyNumberFormat="1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 wrapText="1"/>
    </xf>
    <xf numFmtId="164" fontId="18" fillId="0" borderId="0" xfId="0" applyNumberFormat="1" applyFont="1" applyFill="1" applyBorder="1" applyAlignment="1">
      <alignment/>
    </xf>
    <xf numFmtId="169" fontId="12" fillId="0" borderId="0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64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 wrapText="1"/>
    </xf>
    <xf numFmtId="164" fontId="3" fillId="0" borderId="14" xfId="0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164" fontId="8" fillId="0" borderId="14" xfId="0" applyNumberFormat="1" applyFont="1" applyFill="1" applyBorder="1" applyAlignment="1">
      <alignment wrapText="1"/>
    </xf>
    <xf numFmtId="164" fontId="12" fillId="25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4" fillId="0" borderId="15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2" xfId="0" applyFont="1" applyFill="1" applyBorder="1" applyAlignment="1">
      <alignment/>
    </xf>
    <xf numFmtId="49" fontId="12" fillId="0" borderId="13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164" fontId="22" fillId="0" borderId="0" xfId="0" applyNumberFormat="1" applyFont="1" applyFill="1" applyBorder="1" applyAlignment="1">
      <alignment/>
    </xf>
    <xf numFmtId="166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/>
    </xf>
    <xf numFmtId="164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164" fontId="3" fillId="0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wrapText="1"/>
    </xf>
    <xf numFmtId="164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horizontal="left" wrapText="1" indent="1"/>
    </xf>
    <xf numFmtId="0" fontId="2" fillId="0" borderId="14" xfId="0" applyFont="1" applyFill="1" applyBorder="1" applyAlignment="1">
      <alignment wrapText="1"/>
    </xf>
    <xf numFmtId="3" fontId="2" fillId="0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 wrapText="1"/>
    </xf>
    <xf numFmtId="167" fontId="2" fillId="0" borderId="14" xfId="52" applyNumberFormat="1" applyFont="1" applyFill="1" applyBorder="1" applyAlignment="1" applyProtection="1">
      <alignment vertical="center" wrapText="1"/>
      <protection hidden="1"/>
    </xf>
    <xf numFmtId="164" fontId="3" fillId="0" borderId="14" xfId="0" applyNumberFormat="1" applyFont="1" applyFill="1" applyBorder="1" applyAlignment="1">
      <alignment horizontal="center" wrapText="1"/>
    </xf>
    <xf numFmtId="164" fontId="2" fillId="0" borderId="14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 vertical="center" wrapText="1"/>
    </xf>
    <xf numFmtId="164" fontId="3" fillId="0" borderId="14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 horizontal="left" wrapText="1"/>
    </xf>
    <xf numFmtId="164" fontId="2" fillId="0" borderId="14" xfId="0" applyNumberFormat="1" applyFont="1" applyFill="1" applyBorder="1" applyAlignment="1" applyProtection="1">
      <alignment vertical="justify" wrapText="1"/>
      <protection/>
    </xf>
    <xf numFmtId="164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164" fontId="5" fillId="0" borderId="13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 horizontal="left" wrapText="1" indent="1"/>
    </xf>
    <xf numFmtId="164" fontId="9" fillId="0" borderId="14" xfId="0" applyNumberFormat="1" applyFont="1" applyFill="1" applyBorder="1" applyAlignment="1">
      <alignment wrapText="1"/>
    </xf>
    <xf numFmtId="49" fontId="9" fillId="0" borderId="14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/>
    </xf>
    <xf numFmtId="164" fontId="11" fillId="0" borderId="14" xfId="0" applyNumberFormat="1" applyFont="1" applyFill="1" applyBorder="1" applyAlignment="1">
      <alignment/>
    </xf>
    <xf numFmtId="0" fontId="23" fillId="0" borderId="14" xfId="0" applyFont="1" applyFill="1" applyBorder="1" applyAlignment="1">
      <alignment horizontal="left" wrapText="1" indent="1"/>
    </xf>
    <xf numFmtId="164" fontId="3" fillId="0" borderId="14" xfId="0" applyNumberFormat="1" applyFont="1" applyFill="1" applyBorder="1" applyAlignment="1">
      <alignment horizontal="right" wrapText="1"/>
    </xf>
    <xf numFmtId="169" fontId="12" fillId="25" borderId="0" xfId="0" applyNumberFormat="1" applyFont="1" applyFill="1" applyBorder="1" applyAlignment="1">
      <alignment/>
    </xf>
    <xf numFmtId="164" fontId="15" fillId="25" borderId="0" xfId="0" applyNumberFormat="1" applyFont="1" applyFill="1" applyBorder="1" applyAlignment="1">
      <alignment/>
    </xf>
    <xf numFmtId="164" fontId="2" fillId="24" borderId="0" xfId="0" applyNumberFormat="1" applyFont="1" applyFill="1" applyBorder="1" applyAlignment="1">
      <alignment/>
    </xf>
    <xf numFmtId="164" fontId="2" fillId="24" borderId="14" xfId="0" applyNumberFormat="1" applyFont="1" applyFill="1" applyBorder="1" applyAlignment="1">
      <alignment/>
    </xf>
    <xf numFmtId="164" fontId="23" fillId="0" borderId="14" xfId="0" applyNumberFormat="1" applyFont="1" applyFill="1" applyBorder="1" applyAlignment="1">
      <alignment/>
    </xf>
    <xf numFmtId="164" fontId="18" fillId="0" borderId="14" xfId="0" applyNumberFormat="1" applyFont="1" applyFill="1" applyBorder="1" applyAlignment="1">
      <alignment/>
    </xf>
    <xf numFmtId="164" fontId="9" fillId="24" borderId="14" xfId="0" applyNumberFormat="1" applyFont="1" applyFill="1" applyBorder="1" applyAlignment="1">
      <alignment/>
    </xf>
    <xf numFmtId="164" fontId="3" fillId="24" borderId="14" xfId="0" applyNumberFormat="1" applyFont="1" applyFill="1" applyBorder="1" applyAlignment="1">
      <alignment/>
    </xf>
    <xf numFmtId="164" fontId="25" fillId="0" borderId="14" xfId="0" applyNumberFormat="1" applyFont="1" applyFill="1" applyBorder="1" applyAlignment="1">
      <alignment/>
    </xf>
    <xf numFmtId="164" fontId="2" fillId="24" borderId="0" xfId="0" applyNumberFormat="1" applyFont="1" applyFill="1" applyBorder="1" applyAlignment="1">
      <alignment horizontal="right"/>
    </xf>
    <xf numFmtId="164" fontId="2" fillId="24" borderId="14" xfId="0" applyNumberFormat="1" applyFont="1" applyFill="1" applyBorder="1" applyAlignment="1">
      <alignment/>
    </xf>
    <xf numFmtId="164" fontId="12" fillId="0" borderId="14" xfId="0" applyNumberFormat="1" applyFont="1" applyFill="1" applyBorder="1" applyAlignment="1">
      <alignment/>
    </xf>
    <xf numFmtId="0" fontId="22" fillId="0" borderId="14" xfId="0" applyFont="1" applyFill="1" applyBorder="1" applyAlignment="1">
      <alignment horizontal="center" wrapText="1"/>
    </xf>
    <xf numFmtId="49" fontId="22" fillId="0" borderId="14" xfId="0" applyNumberFormat="1" applyFont="1" applyFill="1" applyBorder="1" applyAlignment="1">
      <alignment horizontal="center"/>
    </xf>
    <xf numFmtId="164" fontId="22" fillId="0" borderId="14" xfId="0" applyNumberFormat="1" applyFont="1" applyFill="1" applyBorder="1" applyAlignment="1">
      <alignment/>
    </xf>
    <xf numFmtId="164" fontId="11" fillId="24" borderId="14" xfId="0" applyNumberFormat="1" applyFont="1" applyFill="1" applyBorder="1" applyAlignment="1">
      <alignment/>
    </xf>
    <xf numFmtId="164" fontId="48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/>
    </xf>
    <xf numFmtId="0" fontId="12" fillId="0" borderId="13" xfId="0" applyFont="1" applyFill="1" applyBorder="1" applyAlignment="1">
      <alignment horizontal="center" wrapText="1"/>
    </xf>
    <xf numFmtId="3" fontId="14" fillId="0" borderId="0" xfId="0" applyNumberFormat="1" applyFont="1" applyFill="1" applyBorder="1" applyAlignment="1">
      <alignment/>
    </xf>
    <xf numFmtId="164" fontId="3" fillId="22" borderId="0" xfId="0" applyNumberFormat="1" applyFont="1" applyFill="1" applyBorder="1" applyAlignment="1">
      <alignment/>
    </xf>
    <xf numFmtId="164" fontId="2" fillId="22" borderId="14" xfId="0" applyNumberFormat="1" applyFont="1" applyFill="1" applyBorder="1" applyAlignment="1">
      <alignment/>
    </xf>
    <xf numFmtId="164" fontId="9" fillId="22" borderId="14" xfId="0" applyNumberFormat="1" applyFont="1" applyFill="1" applyBorder="1" applyAlignment="1">
      <alignment/>
    </xf>
    <xf numFmtId="164" fontId="3" fillId="22" borderId="14" xfId="0" applyNumberFormat="1" applyFont="1" applyFill="1" applyBorder="1" applyAlignment="1">
      <alignment/>
    </xf>
    <xf numFmtId="164" fontId="22" fillId="22" borderId="14" xfId="0" applyNumberFormat="1" applyFont="1" applyFill="1" applyBorder="1" applyAlignment="1">
      <alignment/>
    </xf>
    <xf numFmtId="164" fontId="23" fillId="22" borderId="14" xfId="0" applyNumberFormat="1" applyFont="1" applyFill="1" applyBorder="1" applyAlignment="1">
      <alignment/>
    </xf>
    <xf numFmtId="169" fontId="7" fillId="0" borderId="15" xfId="0" applyNumberFormat="1" applyFont="1" applyFill="1" applyBorder="1" applyAlignment="1">
      <alignment/>
    </xf>
    <xf numFmtId="169" fontId="6" fillId="0" borderId="13" xfId="0" applyNumberFormat="1" applyFont="1" applyFill="1" applyBorder="1" applyAlignment="1">
      <alignment horizontal="center" vertical="center" wrapText="1"/>
    </xf>
    <xf numFmtId="164" fontId="11" fillId="22" borderId="14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right" wrapText="1"/>
    </xf>
    <xf numFmtId="164" fontId="2" fillId="0" borderId="15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/>
    </xf>
    <xf numFmtId="164" fontId="52" fillId="0" borderId="0" xfId="0" applyNumberFormat="1" applyFont="1" applyFill="1" applyBorder="1" applyAlignment="1">
      <alignment/>
    </xf>
    <xf numFmtId="164" fontId="53" fillId="0" borderId="0" xfId="0" applyNumberFormat="1" applyFont="1" applyFill="1" applyBorder="1" applyAlignment="1">
      <alignment/>
    </xf>
    <xf numFmtId="164" fontId="54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left" indent="1"/>
    </xf>
    <xf numFmtId="0" fontId="6" fillId="24" borderId="12" xfId="0" applyFont="1" applyFill="1" applyBorder="1" applyAlignment="1">
      <alignment textRotation="90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49" fontId="18" fillId="0" borderId="14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/>
    </xf>
    <xf numFmtId="0" fontId="24" fillId="0" borderId="14" xfId="0" applyFont="1" applyFill="1" applyBorder="1" applyAlignment="1">
      <alignment horizontal="left" vertical="center" wrapText="1" indent="1"/>
    </xf>
    <xf numFmtId="1" fontId="24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9" fillId="24" borderId="14" xfId="0" applyNumberFormat="1" applyFont="1" applyFill="1" applyBorder="1" applyAlignment="1">
      <alignment/>
    </xf>
    <xf numFmtId="0" fontId="7" fillId="24" borderId="16" xfId="0" applyFont="1" applyFill="1" applyBorder="1" applyAlignment="1">
      <alignment horizontal="center"/>
    </xf>
    <xf numFmtId="0" fontId="6" fillId="24" borderId="18" xfId="0" applyFont="1" applyFill="1" applyBorder="1" applyAlignment="1">
      <alignment/>
    </xf>
    <xf numFmtId="0" fontId="6" fillId="24" borderId="14" xfId="0" applyFont="1" applyFill="1" applyBorder="1" applyAlignment="1">
      <alignment wrapText="1"/>
    </xf>
    <xf numFmtId="164" fontId="12" fillId="24" borderId="0" xfId="0" applyNumberFormat="1" applyFont="1" applyFill="1" applyBorder="1" applyAlignment="1">
      <alignment/>
    </xf>
    <xf numFmtId="164" fontId="15" fillId="24" borderId="0" xfId="0" applyNumberFormat="1" applyFont="1" applyFill="1" applyBorder="1" applyAlignment="1">
      <alignment/>
    </xf>
    <xf numFmtId="169" fontId="12" fillId="24" borderId="0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2" fillId="0" borderId="14" xfId="0" applyFont="1" applyFill="1" applyBorder="1" applyAlignment="1">
      <alignment horizontal="center" vertical="top" wrapText="1"/>
    </xf>
    <xf numFmtId="3" fontId="14" fillId="0" borderId="0" xfId="0" applyNumberFormat="1" applyFont="1" applyFill="1" applyBorder="1" applyAlignment="1">
      <alignment wrapText="1"/>
    </xf>
    <xf numFmtId="0" fontId="49" fillId="0" borderId="12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0" fontId="49" fillId="0" borderId="13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22" fontId="22" fillId="0" borderId="14" xfId="0" applyNumberFormat="1" applyFont="1" applyFill="1" applyBorder="1" applyAlignment="1">
      <alignment horizont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9" fillId="0" borderId="14" xfId="0" applyNumberFormat="1" applyFont="1" applyFill="1" applyBorder="1" applyAlignment="1">
      <alignment horizontal="left" wrapText="1"/>
    </xf>
    <xf numFmtId="0" fontId="23" fillId="0" borderId="14" xfId="0" applyNumberFormat="1" applyFont="1" applyFill="1" applyBorder="1" applyAlignment="1">
      <alignment horizontal="left" wrapText="1" indent="1"/>
    </xf>
    <xf numFmtId="49" fontId="9" fillId="0" borderId="14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 horizontal="left"/>
    </xf>
    <xf numFmtId="49" fontId="9" fillId="0" borderId="14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164" fontId="61" fillId="0" borderId="14" xfId="0" applyNumberFormat="1" applyFont="1" applyFill="1" applyBorder="1" applyAlignment="1">
      <alignment horizontal="left" wrapText="1" indent="1"/>
    </xf>
    <xf numFmtId="164" fontId="48" fillId="0" borderId="14" xfId="0" applyNumberFormat="1" applyFont="1" applyFill="1" applyBorder="1" applyAlignment="1">
      <alignment/>
    </xf>
    <xf numFmtId="49" fontId="48" fillId="0" borderId="14" xfId="0" applyNumberFormat="1" applyFont="1" applyFill="1" applyBorder="1" applyAlignment="1">
      <alignment horizontal="center"/>
    </xf>
    <xf numFmtId="164" fontId="48" fillId="22" borderId="14" xfId="0" applyNumberFormat="1" applyFont="1" applyFill="1" applyBorder="1" applyAlignment="1">
      <alignment/>
    </xf>
    <xf numFmtId="164" fontId="25" fillId="0" borderId="14" xfId="0" applyNumberFormat="1" applyFont="1" applyFill="1" applyBorder="1" applyAlignment="1">
      <alignment horizontal="left" wrapText="1" indent="1"/>
    </xf>
    <xf numFmtId="164" fontId="3" fillId="0" borderId="13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164" fontId="3" fillId="22" borderId="13" xfId="0" applyNumberFormat="1" applyFont="1" applyFill="1" applyBorder="1" applyAlignment="1">
      <alignment/>
    </xf>
    <xf numFmtId="164" fontId="3" fillId="24" borderId="13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left" wrapText="1" indent="1"/>
    </xf>
    <xf numFmtId="166" fontId="6" fillId="24" borderId="14" xfId="0" applyNumberFormat="1" applyFont="1" applyFill="1" applyBorder="1" applyAlignment="1">
      <alignment wrapText="1"/>
    </xf>
    <xf numFmtId="0" fontId="62" fillId="0" borderId="14" xfId="0" applyFont="1" applyBorder="1" applyAlignment="1">
      <alignment wrapText="1"/>
    </xf>
    <xf numFmtId="166" fontId="62" fillId="0" borderId="14" xfId="0" applyNumberFormat="1" applyFont="1" applyBorder="1" applyAlignment="1">
      <alignment wrapText="1"/>
    </xf>
    <xf numFmtId="164" fontId="62" fillId="0" borderId="14" xfId="0" applyNumberFormat="1" applyFont="1" applyFill="1" applyBorder="1" applyAlignment="1">
      <alignment/>
    </xf>
    <xf numFmtId="49" fontId="62" fillId="0" borderId="14" xfId="0" applyNumberFormat="1" applyFont="1" applyFill="1" applyBorder="1" applyAlignment="1">
      <alignment horizontal="center"/>
    </xf>
    <xf numFmtId="164" fontId="62" fillId="22" borderId="14" xfId="0" applyNumberFormat="1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23" fillId="0" borderId="14" xfId="0" applyNumberFormat="1" applyFont="1" applyFill="1" applyBorder="1" applyAlignment="1">
      <alignment horizontal="left" wrapText="1"/>
    </xf>
    <xf numFmtId="164" fontId="23" fillId="22" borderId="14" xfId="0" applyNumberFormat="1" applyFont="1" applyFill="1" applyBorder="1" applyAlignment="1">
      <alignment horizontal="right"/>
    </xf>
    <xf numFmtId="164" fontId="23" fillId="0" borderId="14" xfId="0" applyNumberFormat="1" applyFont="1" applyFill="1" applyBorder="1" applyAlignment="1">
      <alignment horizontal="right"/>
    </xf>
    <xf numFmtId="49" fontId="23" fillId="0" borderId="14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64" fontId="14" fillId="22" borderId="14" xfId="0" applyNumberFormat="1" applyFont="1" applyFill="1" applyBorder="1" applyAlignment="1">
      <alignment wrapText="1"/>
    </xf>
    <xf numFmtId="49" fontId="14" fillId="22" borderId="14" xfId="0" applyNumberFormat="1" applyFont="1" applyFill="1" applyBorder="1" applyAlignment="1">
      <alignment wrapText="1"/>
    </xf>
    <xf numFmtId="164" fontId="14" fillId="22" borderId="14" xfId="0" applyNumberFormat="1" applyFont="1" applyFill="1" applyBorder="1" applyAlignment="1">
      <alignment/>
    </xf>
    <xf numFmtId="164" fontId="17" fillId="0" borderId="14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wrapText="1"/>
    </xf>
    <xf numFmtId="49" fontId="12" fillId="0" borderId="14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/>
    </xf>
    <xf numFmtId="164" fontId="12" fillId="24" borderId="14" xfId="0" applyNumberFormat="1" applyFont="1" applyFill="1" applyBorder="1" applyAlignment="1">
      <alignment/>
    </xf>
    <xf numFmtId="164" fontId="12" fillId="0" borderId="14" xfId="0" applyNumberFormat="1" applyFont="1" applyFill="1" applyBorder="1" applyAlignment="1">
      <alignment horizontal="left" wrapText="1" indent="1"/>
    </xf>
    <xf numFmtId="164" fontId="12" fillId="24" borderId="14" xfId="0" applyNumberFormat="1" applyFont="1" applyFill="1" applyBorder="1" applyAlignment="1">
      <alignment wrapText="1"/>
    </xf>
    <xf numFmtId="164" fontId="14" fillId="0" borderId="14" xfId="0" applyNumberFormat="1" applyFont="1" applyFill="1" applyBorder="1" applyAlignment="1">
      <alignment/>
    </xf>
    <xf numFmtId="164" fontId="14" fillId="24" borderId="14" xfId="0" applyNumberFormat="1" applyFont="1" applyFill="1" applyBorder="1" applyAlignment="1">
      <alignment/>
    </xf>
    <xf numFmtId="164" fontId="17" fillId="0" borderId="14" xfId="0" applyNumberFormat="1" applyFont="1" applyFill="1" applyBorder="1" applyAlignment="1">
      <alignment wrapText="1"/>
    </xf>
    <xf numFmtId="164" fontId="12" fillId="25" borderId="14" xfId="0" applyNumberFormat="1" applyFont="1" applyFill="1" applyBorder="1" applyAlignment="1">
      <alignment wrapText="1"/>
    </xf>
    <xf numFmtId="164" fontId="14" fillId="0" borderId="14" xfId="0" applyNumberFormat="1" applyFont="1" applyFill="1" applyBorder="1" applyAlignment="1">
      <alignment wrapText="1"/>
    </xf>
    <xf numFmtId="49" fontId="14" fillId="0" borderId="14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/>
    </xf>
    <xf numFmtId="49" fontId="12" fillId="22" borderId="14" xfId="0" applyNumberFormat="1" applyFont="1" applyFill="1" applyBorder="1" applyAlignment="1">
      <alignment/>
    </xf>
    <xf numFmtId="164" fontId="12" fillId="22" borderId="14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164" fontId="64" fillId="0" borderId="0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67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8" fillId="0" borderId="14" xfId="0" applyNumberFormat="1" applyFont="1" applyFill="1" applyBorder="1" applyAlignment="1">
      <alignment wrapText="1"/>
    </xf>
    <xf numFmtId="164" fontId="18" fillId="0" borderId="14" xfId="0" applyNumberFormat="1" applyFont="1" applyFill="1" applyBorder="1" applyAlignment="1">
      <alignment horizontal="center"/>
    </xf>
    <xf numFmtId="164" fontId="68" fillId="0" borderId="14" xfId="0" applyNumberFormat="1" applyFont="1" applyFill="1" applyBorder="1" applyAlignment="1">
      <alignment/>
    </xf>
    <xf numFmtId="164" fontId="68" fillId="22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 wrapText="1"/>
    </xf>
    <xf numFmtId="164" fontId="64" fillId="0" borderId="14" xfId="0" applyNumberFormat="1" applyFont="1" applyFill="1" applyBorder="1" applyAlignment="1">
      <alignment/>
    </xf>
    <xf numFmtId="164" fontId="64" fillId="0" borderId="14" xfId="0" applyNumberFormat="1" applyFont="1" applyFill="1" applyBorder="1" applyAlignment="1">
      <alignment horizontal="center"/>
    </xf>
    <xf numFmtId="49" fontId="64" fillId="0" borderId="14" xfId="0" applyNumberFormat="1" applyFont="1" applyFill="1" applyBorder="1" applyAlignment="1">
      <alignment horizontal="center"/>
    </xf>
    <xf numFmtId="164" fontId="18" fillId="22" borderId="14" xfId="0" applyNumberFormat="1" applyFont="1" applyFill="1" applyBorder="1" applyAlignment="1">
      <alignment/>
    </xf>
    <xf numFmtId="164" fontId="18" fillId="24" borderId="14" xfId="0" applyNumberFormat="1" applyFont="1" applyFill="1" applyBorder="1" applyAlignment="1">
      <alignment/>
    </xf>
    <xf numFmtId="0" fontId="66" fillId="0" borderId="14" xfId="0" applyNumberFormat="1" applyFont="1" applyFill="1" applyBorder="1" applyAlignment="1">
      <alignment wrapText="1"/>
    </xf>
    <xf numFmtId="164" fontId="64" fillId="22" borderId="14" xfId="0" applyNumberFormat="1" applyFont="1" applyFill="1" applyBorder="1" applyAlignment="1">
      <alignment/>
    </xf>
    <xf numFmtId="164" fontId="64" fillId="24" borderId="14" xfId="0" applyNumberFormat="1" applyFont="1" applyFill="1" applyBorder="1" applyAlignment="1">
      <alignment/>
    </xf>
    <xf numFmtId="0" fontId="68" fillId="0" borderId="14" xfId="0" applyNumberFormat="1" applyFont="1" applyFill="1" applyBorder="1" applyAlignment="1">
      <alignment vertical="center" wrapText="1"/>
    </xf>
    <xf numFmtId="164" fontId="68" fillId="0" borderId="14" xfId="0" applyNumberFormat="1" applyFont="1" applyFill="1" applyBorder="1" applyAlignment="1">
      <alignment horizontal="center"/>
    </xf>
    <xf numFmtId="49" fontId="68" fillId="0" borderId="14" xfId="0" applyNumberFormat="1" applyFont="1" applyFill="1" applyBorder="1" applyAlignment="1">
      <alignment horizontal="center"/>
    </xf>
    <xf numFmtId="0" fontId="18" fillId="0" borderId="14" xfId="0" applyNumberFormat="1" applyFont="1" applyBorder="1" applyAlignment="1">
      <alignment horizontal="left" wrapText="1"/>
    </xf>
    <xf numFmtId="0" fontId="18" fillId="0" borderId="14" xfId="0" applyFont="1" applyBorder="1" applyAlignment="1">
      <alignment/>
    </xf>
    <xf numFmtId="22" fontId="18" fillId="0" borderId="14" xfId="0" applyNumberFormat="1" applyFont="1" applyBorder="1" applyAlignment="1">
      <alignment/>
    </xf>
    <xf numFmtId="166" fontId="18" fillId="22" borderId="14" xfId="0" applyNumberFormat="1" applyFont="1" applyFill="1" applyBorder="1" applyAlignment="1">
      <alignment/>
    </xf>
    <xf numFmtId="166" fontId="18" fillId="0" borderId="14" xfId="0" applyNumberFormat="1" applyFont="1" applyBorder="1" applyAlignment="1">
      <alignment/>
    </xf>
    <xf numFmtId="0" fontId="18" fillId="22" borderId="14" xfId="0" applyFont="1" applyFill="1" applyBorder="1" applyAlignment="1">
      <alignment/>
    </xf>
    <xf numFmtId="0" fontId="67" fillId="0" borderId="14" xfId="0" applyFont="1" applyBorder="1" applyAlignment="1">
      <alignment/>
    </xf>
    <xf numFmtId="22" fontId="67" fillId="0" borderId="14" xfId="0" applyNumberFormat="1" applyFont="1" applyBorder="1" applyAlignment="1">
      <alignment/>
    </xf>
    <xf numFmtId="49" fontId="64" fillId="0" borderId="14" xfId="0" applyNumberFormat="1" applyFont="1" applyFill="1" applyBorder="1" applyAlignment="1" applyProtection="1">
      <alignment horizontal="left" vertical="top" wrapText="1" indent="1"/>
      <protection locked="0"/>
    </xf>
    <xf numFmtId="0" fontId="64" fillId="0" borderId="14" xfId="0" applyFont="1" applyFill="1" applyBorder="1" applyAlignment="1">
      <alignment horizontal="center" wrapText="1"/>
    </xf>
    <xf numFmtId="166" fontId="70" fillId="22" borderId="14" xfId="0" applyNumberFormat="1" applyFont="1" applyFill="1" applyBorder="1" applyAlignment="1">
      <alignment/>
    </xf>
    <xf numFmtId="166" fontId="70" fillId="0" borderId="14" xfId="0" applyNumberFormat="1" applyFont="1" applyBorder="1" applyAlignment="1">
      <alignment/>
    </xf>
    <xf numFmtId="0" fontId="70" fillId="0" borderId="14" xfId="0" applyFont="1" applyBorder="1" applyAlignment="1">
      <alignment/>
    </xf>
    <xf numFmtId="49" fontId="64" fillId="24" borderId="14" xfId="0" applyNumberFormat="1" applyFont="1" applyFill="1" applyBorder="1" applyAlignment="1">
      <alignment horizontal="center"/>
    </xf>
    <xf numFmtId="164" fontId="12" fillId="0" borderId="14" xfId="0" applyNumberFormat="1" applyFont="1" applyFill="1" applyBorder="1" applyAlignment="1">
      <alignment horizontal="center"/>
    </xf>
    <xf numFmtId="164" fontId="15" fillId="24" borderId="14" xfId="0" applyNumberFormat="1" applyFont="1" applyFill="1" applyBorder="1" applyAlignment="1">
      <alignment/>
    </xf>
    <xf numFmtId="164" fontId="14" fillId="22" borderId="14" xfId="0" applyNumberFormat="1" applyFont="1" applyFill="1" applyBorder="1" applyAlignment="1">
      <alignment horizontal="center"/>
    </xf>
    <xf numFmtId="49" fontId="14" fillId="22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4" fontId="54" fillId="0" borderId="0" xfId="0" applyNumberFormat="1" applyFont="1" applyFill="1" applyBorder="1" applyAlignment="1">
      <alignment wrapText="1"/>
    </xf>
    <xf numFmtId="164" fontId="57" fillId="0" borderId="0" xfId="0" applyNumberFormat="1" applyFont="1" applyFill="1" applyBorder="1" applyAlignment="1">
      <alignment/>
    </xf>
    <xf numFmtId="164" fontId="71" fillId="0" borderId="0" xfId="0" applyNumberFormat="1" applyFont="1" applyFill="1" applyBorder="1" applyAlignment="1">
      <alignment/>
    </xf>
    <xf numFmtId="164" fontId="67" fillId="0" borderId="0" xfId="0" applyNumberFormat="1" applyFont="1" applyFill="1" applyBorder="1" applyAlignment="1">
      <alignment/>
    </xf>
    <xf numFmtId="164" fontId="72" fillId="0" borderId="0" xfId="0" applyNumberFormat="1" applyFont="1" applyFill="1" applyBorder="1" applyAlignment="1">
      <alignment/>
    </xf>
    <xf numFmtId="164" fontId="73" fillId="0" borderId="0" xfId="0" applyNumberFormat="1" applyFont="1" applyFill="1" applyBorder="1" applyAlignment="1">
      <alignment/>
    </xf>
    <xf numFmtId="164" fontId="3" fillId="22" borderId="14" xfId="0" applyNumberFormat="1" applyFont="1" applyFill="1" applyBorder="1" applyAlignment="1">
      <alignment/>
    </xf>
    <xf numFmtId="164" fontId="72" fillId="0" borderId="14" xfId="0" applyNumberFormat="1" applyFont="1" applyFill="1" applyBorder="1" applyAlignment="1">
      <alignment wrapText="1"/>
    </xf>
    <xf numFmtId="164" fontId="72" fillId="0" borderId="14" xfId="0" applyNumberFormat="1" applyFont="1" applyFill="1" applyBorder="1" applyAlignment="1">
      <alignment horizontal="center" wrapText="1"/>
    </xf>
    <xf numFmtId="49" fontId="72" fillId="0" borderId="14" xfId="0" applyNumberFormat="1" applyFont="1" applyFill="1" applyBorder="1" applyAlignment="1">
      <alignment/>
    </xf>
    <xf numFmtId="164" fontId="72" fillId="0" borderId="14" xfId="0" applyNumberFormat="1" applyFont="1" applyFill="1" applyBorder="1" applyAlignment="1">
      <alignment/>
    </xf>
    <xf numFmtId="164" fontId="72" fillId="0" borderId="14" xfId="0" applyNumberFormat="1" applyFont="1" applyFill="1" applyBorder="1" applyAlignment="1">
      <alignment/>
    </xf>
    <xf numFmtId="164" fontId="72" fillId="22" borderId="14" xfId="0" applyNumberFormat="1" applyFont="1" applyFill="1" applyBorder="1" applyAlignment="1">
      <alignment/>
    </xf>
    <xf numFmtId="164" fontId="53" fillId="0" borderId="14" xfId="0" applyNumberFormat="1" applyFont="1" applyFill="1" applyBorder="1" applyAlignment="1">
      <alignment wrapText="1"/>
    </xf>
    <xf numFmtId="164" fontId="53" fillId="0" borderId="14" xfId="0" applyNumberFormat="1" applyFont="1" applyFill="1" applyBorder="1" applyAlignment="1">
      <alignment horizontal="center" wrapText="1"/>
    </xf>
    <xf numFmtId="49" fontId="53" fillId="0" borderId="14" xfId="0" applyNumberFormat="1" applyFont="1" applyFill="1" applyBorder="1" applyAlignment="1">
      <alignment/>
    </xf>
    <xf numFmtId="164" fontId="53" fillId="0" borderId="14" xfId="0" applyNumberFormat="1" applyFont="1" applyFill="1" applyBorder="1" applyAlignment="1">
      <alignment/>
    </xf>
    <xf numFmtId="164" fontId="53" fillId="0" borderId="14" xfId="0" applyNumberFormat="1" applyFont="1" applyFill="1" applyBorder="1" applyAlignment="1">
      <alignment/>
    </xf>
    <xf numFmtId="164" fontId="53" fillId="22" borderId="14" xfId="0" applyNumberFormat="1" applyFont="1" applyFill="1" applyBorder="1" applyAlignment="1">
      <alignment/>
    </xf>
    <xf numFmtId="164" fontId="2" fillId="22" borderId="14" xfId="0" applyNumberFormat="1" applyFont="1" applyFill="1" applyBorder="1" applyAlignment="1">
      <alignment/>
    </xf>
    <xf numFmtId="164" fontId="68" fillId="0" borderId="14" xfId="0" applyNumberFormat="1" applyFont="1" applyFill="1" applyBorder="1" applyAlignment="1">
      <alignment wrapText="1"/>
    </xf>
    <xf numFmtId="164" fontId="68" fillId="0" borderId="14" xfId="0" applyNumberFormat="1" applyFont="1" applyFill="1" applyBorder="1" applyAlignment="1">
      <alignment horizontal="center" wrapText="1"/>
    </xf>
    <xf numFmtId="164" fontId="68" fillId="24" borderId="14" xfId="0" applyNumberFormat="1" applyFont="1" applyFill="1" applyBorder="1" applyAlignment="1">
      <alignment/>
    </xf>
    <xf numFmtId="164" fontId="54" fillId="0" borderId="14" xfId="0" applyNumberFormat="1" applyFont="1" applyFill="1" applyBorder="1" applyAlignment="1">
      <alignment/>
    </xf>
    <xf numFmtId="164" fontId="54" fillId="22" borderId="14" xfId="0" applyNumberFormat="1" applyFont="1" applyFill="1" applyBorder="1" applyAlignment="1">
      <alignment/>
    </xf>
    <xf numFmtId="0" fontId="73" fillId="0" borderId="14" xfId="0" applyNumberFormat="1" applyFont="1" applyFill="1" applyBorder="1" applyAlignment="1">
      <alignment wrapText="1"/>
    </xf>
    <xf numFmtId="164" fontId="73" fillId="0" borderId="14" xfId="0" applyNumberFormat="1" applyFont="1" applyFill="1" applyBorder="1" applyAlignment="1">
      <alignment horizontal="center" wrapText="1"/>
    </xf>
    <xf numFmtId="164" fontId="73" fillId="0" borderId="14" xfId="0" applyNumberFormat="1" applyFont="1" applyFill="1" applyBorder="1" applyAlignment="1">
      <alignment horizontal="center"/>
    </xf>
    <xf numFmtId="49" fontId="73" fillId="0" borderId="14" xfId="0" applyNumberFormat="1" applyFont="1" applyFill="1" applyBorder="1" applyAlignment="1">
      <alignment horizontal="center"/>
    </xf>
    <xf numFmtId="164" fontId="73" fillId="0" borderId="14" xfId="0" applyNumberFormat="1" applyFont="1" applyFill="1" applyBorder="1" applyAlignment="1">
      <alignment/>
    </xf>
    <xf numFmtId="164" fontId="73" fillId="22" borderId="14" xfId="0" applyNumberFormat="1" applyFont="1" applyFill="1" applyBorder="1" applyAlignment="1">
      <alignment/>
    </xf>
    <xf numFmtId="4" fontId="73" fillId="0" borderId="14" xfId="0" applyNumberFormat="1" applyFont="1" applyFill="1" applyBorder="1" applyAlignment="1">
      <alignment/>
    </xf>
    <xf numFmtId="49" fontId="64" fillId="0" borderId="14" xfId="0" applyNumberFormat="1" applyFont="1" applyFill="1" applyBorder="1" applyAlignment="1">
      <alignment/>
    </xf>
    <xf numFmtId="49" fontId="54" fillId="0" borderId="14" xfId="0" applyNumberFormat="1" applyFont="1" applyFill="1" applyBorder="1" applyAlignment="1">
      <alignment/>
    </xf>
    <xf numFmtId="164" fontId="54" fillId="0" borderId="14" xfId="0" applyNumberFormat="1" applyFont="1" applyFill="1" applyBorder="1" applyAlignment="1">
      <alignment wrapText="1"/>
    </xf>
    <xf numFmtId="164" fontId="54" fillId="22" borderId="14" xfId="0" applyNumberFormat="1" applyFont="1" applyFill="1" applyBorder="1" applyAlignment="1">
      <alignment wrapText="1"/>
    </xf>
    <xf numFmtId="164" fontId="67" fillId="0" borderId="14" xfId="0" applyNumberFormat="1" applyFont="1" applyFill="1" applyBorder="1" applyAlignment="1">
      <alignment wrapText="1"/>
    </xf>
    <xf numFmtId="164" fontId="67" fillId="0" borderId="14" xfId="0" applyNumberFormat="1" applyFont="1" applyFill="1" applyBorder="1" applyAlignment="1">
      <alignment/>
    </xf>
    <xf numFmtId="49" fontId="67" fillId="0" borderId="14" xfId="0" applyNumberFormat="1" applyFont="1" applyFill="1" applyBorder="1" applyAlignment="1">
      <alignment/>
    </xf>
    <xf numFmtId="164" fontId="67" fillId="22" borderId="14" xfId="0" applyNumberFormat="1" applyFont="1" applyFill="1" applyBorder="1" applyAlignment="1">
      <alignment/>
    </xf>
    <xf numFmtId="164" fontId="57" fillId="0" borderId="14" xfId="0" applyNumberFormat="1" applyFont="1" applyFill="1" applyBorder="1" applyAlignment="1">
      <alignment/>
    </xf>
    <xf numFmtId="49" fontId="57" fillId="0" borderId="14" xfId="0" applyNumberFormat="1" applyFont="1" applyFill="1" applyBorder="1" applyAlignment="1">
      <alignment/>
    </xf>
    <xf numFmtId="164" fontId="57" fillId="22" borderId="14" xfId="0" applyNumberFormat="1" applyFont="1" applyFill="1" applyBorder="1" applyAlignment="1">
      <alignment/>
    </xf>
    <xf numFmtId="164" fontId="71" fillId="0" borderId="14" xfId="0" applyNumberFormat="1" applyFont="1" applyFill="1" applyBorder="1" applyAlignment="1">
      <alignment wrapText="1"/>
    </xf>
    <xf numFmtId="164" fontId="71" fillId="0" borderId="14" xfId="0" applyNumberFormat="1" applyFont="1" applyFill="1" applyBorder="1" applyAlignment="1">
      <alignment/>
    </xf>
    <xf numFmtId="49" fontId="71" fillId="0" borderId="14" xfId="0" applyNumberFormat="1" applyFont="1" applyFill="1" applyBorder="1" applyAlignment="1">
      <alignment/>
    </xf>
    <xf numFmtId="164" fontId="71" fillId="22" borderId="14" xfId="0" applyNumberFormat="1" applyFont="1" applyFill="1" applyBorder="1" applyAlignment="1">
      <alignment/>
    </xf>
    <xf numFmtId="49" fontId="54" fillId="0" borderId="14" xfId="0" applyNumberFormat="1" applyFont="1" applyFill="1" applyBorder="1" applyAlignment="1">
      <alignment wrapText="1"/>
    </xf>
    <xf numFmtId="164" fontId="25" fillId="0" borderId="0" xfId="0" applyNumberFormat="1" applyFont="1" applyFill="1" applyBorder="1" applyAlignment="1">
      <alignment/>
    </xf>
    <xf numFmtId="164" fontId="75" fillId="0" borderId="0" xfId="0" applyNumberFormat="1" applyFont="1" applyFill="1" applyBorder="1" applyAlignment="1">
      <alignment/>
    </xf>
    <xf numFmtId="164" fontId="74" fillId="0" borderId="0" xfId="0" applyNumberFormat="1" applyFont="1" applyFill="1" applyBorder="1" applyAlignment="1">
      <alignment/>
    </xf>
    <xf numFmtId="164" fontId="77" fillId="0" borderId="0" xfId="0" applyNumberFormat="1" applyFont="1" applyFill="1" applyBorder="1" applyAlignment="1">
      <alignment/>
    </xf>
    <xf numFmtId="164" fontId="75" fillId="0" borderId="0" xfId="0" applyNumberFormat="1" applyFont="1" applyFill="1" applyBorder="1" applyAlignment="1">
      <alignment/>
    </xf>
    <xf numFmtId="164" fontId="78" fillId="0" borderId="14" xfId="0" applyNumberFormat="1" applyFont="1" applyFill="1" applyBorder="1" applyAlignment="1">
      <alignment/>
    </xf>
    <xf numFmtId="164" fontId="78" fillId="22" borderId="14" xfId="0" applyNumberFormat="1" applyFont="1" applyFill="1" applyBorder="1" applyAlignment="1">
      <alignment/>
    </xf>
    <xf numFmtId="164" fontId="55" fillId="0" borderId="14" xfId="0" applyNumberFormat="1" applyFont="1" applyFill="1" applyBorder="1" applyAlignment="1">
      <alignment/>
    </xf>
    <xf numFmtId="164" fontId="55" fillId="22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164" fontId="72" fillId="0" borderId="14" xfId="0" applyNumberFormat="1" applyFont="1" applyFill="1" applyBorder="1" applyAlignment="1">
      <alignment horizontal="center"/>
    </xf>
    <xf numFmtId="49" fontId="72" fillId="0" borderId="14" xfId="0" applyNumberFormat="1" applyFont="1" applyFill="1" applyBorder="1" applyAlignment="1">
      <alignment horizontal="center"/>
    </xf>
    <xf numFmtId="164" fontId="75" fillId="22" borderId="14" xfId="0" applyNumberFormat="1" applyFont="1" applyFill="1" applyBorder="1" applyAlignment="1">
      <alignment/>
    </xf>
    <xf numFmtId="164" fontId="75" fillId="0" borderId="14" xfId="0" applyNumberFormat="1" applyFont="1" applyFill="1" applyBorder="1" applyAlignment="1">
      <alignment/>
    </xf>
    <xf numFmtId="164" fontId="53" fillId="0" borderId="14" xfId="0" applyNumberFormat="1" applyFont="1" applyFill="1" applyBorder="1" applyAlignment="1">
      <alignment horizontal="center"/>
    </xf>
    <xf numFmtId="49" fontId="53" fillId="0" borderId="14" xfId="0" applyNumberFormat="1" applyFont="1" applyFill="1" applyBorder="1" applyAlignment="1">
      <alignment horizontal="center"/>
    </xf>
    <xf numFmtId="164" fontId="74" fillId="22" borderId="14" xfId="0" applyNumberFormat="1" applyFont="1" applyFill="1" applyBorder="1" applyAlignment="1">
      <alignment/>
    </xf>
    <xf numFmtId="164" fontId="74" fillId="0" borderId="14" xfId="0" applyNumberFormat="1" applyFont="1" applyFill="1" applyBorder="1" applyAlignment="1">
      <alignment/>
    </xf>
    <xf numFmtId="0" fontId="23" fillId="0" borderId="14" xfId="0" applyFont="1" applyFill="1" applyBorder="1" applyAlignment="1">
      <alignment vertical="center" wrapText="1"/>
    </xf>
    <xf numFmtId="164" fontId="25" fillId="0" borderId="14" xfId="0" applyNumberFormat="1" applyFont="1" applyFill="1" applyBorder="1" applyAlignment="1">
      <alignment horizontal="center" wrapText="1"/>
    </xf>
    <xf numFmtId="164" fontId="25" fillId="0" borderId="14" xfId="0" applyNumberFormat="1" applyFont="1" applyFill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/>
    </xf>
    <xf numFmtId="0" fontId="23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3" fontId="72" fillId="0" borderId="14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vertical="center" wrapText="1"/>
    </xf>
    <xf numFmtId="0" fontId="76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center" wrapText="1"/>
    </xf>
    <xf numFmtId="3" fontId="12" fillId="0" borderId="14" xfId="0" applyNumberFormat="1" applyFont="1" applyFill="1" applyBorder="1" applyAlignment="1">
      <alignment horizontal="center"/>
    </xf>
    <xf numFmtId="164" fontId="15" fillId="0" borderId="14" xfId="0" applyNumberFormat="1" applyFont="1" applyFill="1" applyBorder="1" applyAlignment="1">
      <alignment horizontal="center" wrapText="1"/>
    </xf>
    <xf numFmtId="164" fontId="15" fillId="0" borderId="14" xfId="0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/>
    </xf>
    <xf numFmtId="164" fontId="15" fillId="0" borderId="14" xfId="0" applyNumberFormat="1" applyFont="1" applyFill="1" applyBorder="1" applyAlignment="1">
      <alignment/>
    </xf>
    <xf numFmtId="164" fontId="15" fillId="22" borderId="14" xfId="0" applyNumberFormat="1" applyFont="1" applyFill="1" applyBorder="1" applyAlignment="1">
      <alignment/>
    </xf>
    <xf numFmtId="164" fontId="22" fillId="0" borderId="14" xfId="0" applyNumberFormat="1" applyFont="1" applyFill="1" applyBorder="1" applyAlignment="1">
      <alignment wrapText="1"/>
    </xf>
    <xf numFmtId="0" fontId="74" fillId="0" borderId="14" xfId="0" applyFont="1" applyFill="1" applyBorder="1" applyAlignment="1">
      <alignment vertical="center" wrapText="1"/>
    </xf>
    <xf numFmtId="164" fontId="74" fillId="0" borderId="14" xfId="0" applyNumberFormat="1" applyFont="1" applyFill="1" applyBorder="1" applyAlignment="1">
      <alignment horizontal="center" wrapText="1"/>
    </xf>
    <xf numFmtId="164" fontId="74" fillId="0" borderId="14" xfId="0" applyNumberFormat="1" applyFont="1" applyFill="1" applyBorder="1" applyAlignment="1">
      <alignment horizontal="center"/>
    </xf>
    <xf numFmtId="3" fontId="74" fillId="0" borderId="14" xfId="0" applyNumberFormat="1" applyFont="1" applyFill="1" applyBorder="1" applyAlignment="1">
      <alignment horizontal="center"/>
    </xf>
    <xf numFmtId="49" fontId="74" fillId="0" borderId="14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wrapText="1"/>
    </xf>
    <xf numFmtId="164" fontId="77" fillId="0" borderId="14" xfId="0" applyNumberFormat="1" applyFont="1" applyFill="1" applyBorder="1" applyAlignment="1">
      <alignment horizontal="center" wrapText="1"/>
    </xf>
    <xf numFmtId="164" fontId="77" fillId="0" borderId="14" xfId="0" applyNumberFormat="1" applyFont="1" applyFill="1" applyBorder="1" applyAlignment="1">
      <alignment horizontal="center"/>
    </xf>
    <xf numFmtId="3" fontId="77" fillId="0" borderId="14" xfId="0" applyNumberFormat="1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horizontal="center"/>
    </xf>
    <xf numFmtId="164" fontId="77" fillId="0" borderId="14" xfId="0" applyNumberFormat="1" applyFont="1" applyFill="1" applyBorder="1" applyAlignment="1">
      <alignment/>
    </xf>
    <xf numFmtId="164" fontId="77" fillId="22" borderId="14" xfId="0" applyNumberFormat="1" applyFont="1" applyFill="1" applyBorder="1" applyAlignment="1">
      <alignment/>
    </xf>
    <xf numFmtId="0" fontId="72" fillId="0" borderId="14" xfId="0" applyFont="1" applyFill="1" applyBorder="1" applyAlignment="1">
      <alignment vertical="center" wrapText="1"/>
    </xf>
    <xf numFmtId="164" fontId="75" fillId="0" borderId="14" xfId="0" applyNumberFormat="1" applyFont="1" applyFill="1" applyBorder="1" applyAlignment="1">
      <alignment wrapText="1"/>
    </xf>
    <xf numFmtId="164" fontId="75" fillId="0" borderId="14" xfId="0" applyNumberFormat="1" applyFont="1" applyFill="1" applyBorder="1" applyAlignment="1">
      <alignment/>
    </xf>
    <xf numFmtId="3" fontId="75" fillId="0" borderId="14" xfId="0" applyNumberFormat="1" applyFont="1" applyFill="1" applyBorder="1" applyAlignment="1">
      <alignment/>
    </xf>
    <xf numFmtId="49" fontId="75" fillId="0" borderId="14" xfId="0" applyNumberFormat="1" applyFont="1" applyFill="1" applyBorder="1" applyAlignment="1">
      <alignment/>
    </xf>
    <xf numFmtId="164" fontId="75" fillId="22" borderId="14" xfId="0" applyNumberFormat="1" applyFont="1" applyFill="1" applyBorder="1" applyAlignment="1">
      <alignment/>
    </xf>
    <xf numFmtId="164" fontId="76" fillId="0" borderId="0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 horizontal="center"/>
    </xf>
    <xf numFmtId="164" fontId="50" fillId="22" borderId="14" xfId="0" applyNumberFormat="1" applyFont="1" applyFill="1" applyBorder="1" applyAlignment="1">
      <alignment/>
    </xf>
    <xf numFmtId="0" fontId="76" fillId="0" borderId="14" xfId="0" applyNumberFormat="1" applyFont="1" applyFill="1" applyBorder="1" applyAlignment="1">
      <alignment wrapText="1"/>
    </xf>
    <xf numFmtId="164" fontId="76" fillId="0" borderId="14" xfId="0" applyNumberFormat="1" applyFont="1" applyFill="1" applyBorder="1" applyAlignment="1">
      <alignment/>
    </xf>
    <xf numFmtId="164" fontId="76" fillId="0" borderId="14" xfId="0" applyNumberFormat="1" applyFont="1" applyFill="1" applyBorder="1" applyAlignment="1">
      <alignment horizontal="center"/>
    </xf>
    <xf numFmtId="49" fontId="76" fillId="0" borderId="14" xfId="0" applyNumberFormat="1" applyFont="1" applyFill="1" applyBorder="1" applyAlignment="1">
      <alignment horizontal="center"/>
    </xf>
    <xf numFmtId="164" fontId="76" fillId="22" borderId="14" xfId="0" applyNumberFormat="1" applyFont="1" applyFill="1" applyBorder="1" applyAlignment="1">
      <alignment/>
    </xf>
    <xf numFmtId="0" fontId="24" fillId="0" borderId="14" xfId="0" applyNumberFormat="1" applyFont="1" applyFill="1" applyBorder="1" applyAlignment="1">
      <alignment wrapText="1"/>
    </xf>
    <xf numFmtId="0" fontId="22" fillId="0" borderId="14" xfId="0" applyNumberFormat="1" applyFont="1" applyFill="1" applyBorder="1" applyAlignment="1">
      <alignment wrapText="1"/>
    </xf>
    <xf numFmtId="0" fontId="2" fillId="0" borderId="14" xfId="0" applyNumberFormat="1" applyFont="1" applyFill="1" applyBorder="1" applyAlignment="1">
      <alignment wrapText="1"/>
    </xf>
    <xf numFmtId="167" fontId="23" fillId="22" borderId="14" xfId="52" applyNumberFormat="1" applyFont="1" applyFill="1" applyBorder="1" applyAlignment="1" applyProtection="1">
      <alignment vertical="center" wrapText="1"/>
      <protection hidden="1"/>
    </xf>
    <xf numFmtId="164" fontId="9" fillId="22" borderId="14" xfId="0" applyNumberFormat="1" applyFont="1" applyFill="1" applyBorder="1" applyAlignment="1">
      <alignment horizontal="center"/>
    </xf>
    <xf numFmtId="49" fontId="9" fillId="22" borderId="14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/>
    </xf>
    <xf numFmtId="3" fontId="76" fillId="0" borderId="14" xfId="0" applyNumberFormat="1" applyFont="1" applyFill="1" applyBorder="1" applyAlignment="1">
      <alignment/>
    </xf>
    <xf numFmtId="49" fontId="53" fillId="0" borderId="0" xfId="0" applyNumberFormat="1" applyFont="1" applyFill="1" applyBorder="1" applyAlignment="1">
      <alignment/>
    </xf>
    <xf numFmtId="164" fontId="55" fillId="0" borderId="0" xfId="0" applyNumberFormat="1" applyFont="1" applyFill="1" applyBorder="1" applyAlignment="1">
      <alignment wrapText="1"/>
    </xf>
    <xf numFmtId="164" fontId="55" fillId="0" borderId="0" xfId="0" applyNumberFormat="1" applyFont="1" applyFill="1" applyBorder="1" applyAlignment="1">
      <alignment/>
    </xf>
    <xf numFmtId="164" fontId="55" fillId="22" borderId="0" xfId="0" applyNumberFormat="1" applyFont="1" applyFill="1" applyBorder="1" applyAlignment="1">
      <alignment/>
    </xf>
    <xf numFmtId="164" fontId="79" fillId="0" borderId="0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 horizontal="center" wrapText="1"/>
    </xf>
    <xf numFmtId="3" fontId="9" fillId="0" borderId="14" xfId="0" applyNumberFormat="1" applyFont="1" applyFill="1" applyBorder="1" applyAlignment="1">
      <alignment horizontal="center"/>
    </xf>
    <xf numFmtId="164" fontId="23" fillId="0" borderId="14" xfId="0" applyNumberFormat="1" applyFont="1" applyFill="1" applyBorder="1" applyAlignment="1">
      <alignment horizontal="center" wrapText="1"/>
    </xf>
    <xf numFmtId="164" fontId="23" fillId="0" borderId="14" xfId="0" applyNumberFormat="1" applyFont="1" applyFill="1" applyBorder="1" applyAlignment="1">
      <alignment horizontal="center"/>
    </xf>
    <xf numFmtId="3" fontId="23" fillId="0" borderId="14" xfId="0" applyNumberFormat="1" applyFont="1" applyFill="1" applyBorder="1" applyAlignment="1">
      <alignment horizontal="center"/>
    </xf>
    <xf numFmtId="0" fontId="23" fillId="0" borderId="14" xfId="0" applyNumberFormat="1" applyFont="1" applyFill="1" applyBorder="1" applyAlignment="1">
      <alignment wrapText="1"/>
    </xf>
    <xf numFmtId="0" fontId="23" fillId="0" borderId="14" xfId="52" applyNumberFormat="1" applyFont="1" applyFill="1" applyBorder="1" applyAlignment="1" applyProtection="1">
      <alignment vertical="center" wrapText="1"/>
      <protection hidden="1"/>
    </xf>
    <xf numFmtId="49" fontId="23" fillId="0" borderId="14" xfId="0" applyNumberFormat="1" applyFont="1" applyFill="1" applyBorder="1" applyAlignment="1">
      <alignment/>
    </xf>
    <xf numFmtId="0" fontId="74" fillId="0" borderId="14" xfId="0" applyNumberFormat="1" applyFont="1" applyFill="1" applyBorder="1" applyAlignment="1">
      <alignment horizontal="left" wrapText="1"/>
    </xf>
    <xf numFmtId="49" fontId="74" fillId="0" borderId="14" xfId="0" applyNumberFormat="1" applyFont="1" applyFill="1" applyBorder="1" applyAlignment="1">
      <alignment/>
    </xf>
    <xf numFmtId="164" fontId="74" fillId="0" borderId="14" xfId="0" applyNumberFormat="1" applyFont="1" applyFill="1" applyBorder="1" applyAlignment="1">
      <alignment wrapText="1"/>
    </xf>
    <xf numFmtId="49" fontId="55" fillId="0" borderId="14" xfId="0" applyNumberFormat="1" applyFont="1" applyFill="1" applyBorder="1" applyAlignment="1">
      <alignment/>
    </xf>
    <xf numFmtId="164" fontId="79" fillId="0" borderId="14" xfId="0" applyNumberFormat="1" applyFont="1" applyFill="1" applyBorder="1" applyAlignment="1">
      <alignment/>
    </xf>
    <xf numFmtId="164" fontId="55" fillId="24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12" fillId="0" borderId="14" xfId="0" applyNumberFormat="1" applyFont="1" applyFill="1" applyBorder="1" applyAlignment="1">
      <alignment wrapText="1"/>
    </xf>
    <xf numFmtId="164" fontId="12" fillId="0" borderId="14" xfId="0" applyNumberFormat="1" applyFont="1" applyFill="1" applyBorder="1" applyAlignment="1" applyProtection="1">
      <alignment vertical="justify" wrapText="1"/>
      <protection/>
    </xf>
    <xf numFmtId="3" fontId="79" fillId="0" borderId="0" xfId="0" applyNumberFormat="1" applyFont="1" applyFill="1" applyBorder="1" applyAlignment="1">
      <alignment/>
    </xf>
    <xf numFmtId="164" fontId="58" fillId="22" borderId="14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64" fontId="79" fillId="0" borderId="14" xfId="0" applyNumberFormat="1" applyFont="1" applyFill="1" applyBorder="1" applyAlignment="1">
      <alignment wrapText="1"/>
    </xf>
    <xf numFmtId="49" fontId="79" fillId="0" borderId="14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14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64" fontId="81" fillId="0" borderId="0" xfId="0" applyNumberFormat="1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64" fontId="80" fillId="24" borderId="14" xfId="0" applyNumberFormat="1" applyFont="1" applyFill="1" applyBorder="1" applyAlignment="1">
      <alignment wrapText="1"/>
    </xf>
    <xf numFmtId="164" fontId="80" fillId="24" borderId="14" xfId="0" applyNumberFormat="1" applyFont="1" applyFill="1" applyBorder="1" applyAlignment="1">
      <alignment/>
    </xf>
    <xf numFmtId="49" fontId="80" fillId="24" borderId="14" xfId="0" applyNumberFormat="1" applyFont="1" applyFill="1" applyBorder="1" applyAlignment="1">
      <alignment/>
    </xf>
    <xf numFmtId="164" fontId="79" fillId="24" borderId="14" xfId="0" applyNumberFormat="1" applyFont="1" applyFill="1" applyBorder="1" applyAlignment="1">
      <alignment wrapText="1"/>
    </xf>
    <xf numFmtId="164" fontId="79" fillId="24" borderId="14" xfId="0" applyNumberFormat="1" applyFont="1" applyFill="1" applyBorder="1" applyAlignment="1">
      <alignment/>
    </xf>
    <xf numFmtId="164" fontId="80" fillId="0" borderId="0" xfId="0" applyNumberFormat="1" applyFont="1" applyFill="1" applyBorder="1" applyAlignment="1">
      <alignment/>
    </xf>
    <xf numFmtId="164" fontId="14" fillId="22" borderId="14" xfId="0" applyNumberFormat="1" applyFont="1" applyFill="1" applyBorder="1" applyAlignment="1">
      <alignment horizontal="center" wrapText="1"/>
    </xf>
    <xf numFmtId="164" fontId="14" fillId="22" borderId="14" xfId="0" applyNumberFormat="1" applyFont="1" applyFill="1" applyBorder="1" applyAlignment="1">
      <alignment/>
    </xf>
    <xf numFmtId="164" fontId="58" fillId="22" borderId="14" xfId="0" applyNumberFormat="1" applyFont="1" applyFill="1" applyBorder="1" applyAlignment="1">
      <alignment/>
    </xf>
    <xf numFmtId="164" fontId="80" fillId="0" borderId="14" xfId="0" applyNumberFormat="1" applyFont="1" applyFill="1" applyBorder="1" applyAlignment="1">
      <alignment wrapText="1"/>
    </xf>
    <xf numFmtId="164" fontId="80" fillId="24" borderId="14" xfId="0" applyNumberFormat="1" applyFont="1" applyFill="1" applyBorder="1" applyAlignment="1">
      <alignment horizontal="center" wrapText="1"/>
    </xf>
    <xf numFmtId="164" fontId="80" fillId="24" borderId="14" xfId="0" applyNumberFormat="1" applyFont="1" applyFill="1" applyBorder="1" applyAlignment="1">
      <alignment/>
    </xf>
    <xf numFmtId="164" fontId="79" fillId="0" borderId="14" xfId="0" applyNumberFormat="1" applyFont="1" applyFill="1" applyBorder="1" applyAlignment="1">
      <alignment horizontal="center" wrapText="1"/>
    </xf>
    <xf numFmtId="164" fontId="79" fillId="0" borderId="14" xfId="0" applyNumberFormat="1" applyFont="1" applyFill="1" applyBorder="1" applyAlignment="1">
      <alignment/>
    </xf>
    <xf numFmtId="164" fontId="12" fillId="0" borderId="14" xfId="0" applyNumberFormat="1" applyFont="1" applyFill="1" applyBorder="1" applyAlignment="1">
      <alignment/>
    </xf>
    <xf numFmtId="164" fontId="53" fillId="0" borderId="14" xfId="0" applyNumberFormat="1" applyFont="1" applyFill="1" applyBorder="1" applyAlignment="1">
      <alignment horizontal="left"/>
    </xf>
    <xf numFmtId="49" fontId="53" fillId="0" borderId="14" xfId="0" applyNumberFormat="1" applyFont="1" applyFill="1" applyBorder="1" applyAlignment="1">
      <alignment horizontal="left"/>
    </xf>
    <xf numFmtId="164" fontId="74" fillId="22" borderId="14" xfId="0" applyNumberFormat="1" applyFont="1" applyFill="1" applyBorder="1" applyAlignment="1">
      <alignment horizontal="right"/>
    </xf>
    <xf numFmtId="164" fontId="74" fillId="0" borderId="14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left"/>
    </xf>
    <xf numFmtId="164" fontId="82" fillId="24" borderId="14" xfId="0" applyNumberFormat="1" applyFont="1" applyFill="1" applyBorder="1" applyAlignment="1">
      <alignment wrapText="1"/>
    </xf>
    <xf numFmtId="164" fontId="55" fillId="24" borderId="14" xfId="0" applyNumberFormat="1" applyFont="1" applyFill="1" applyBorder="1" applyAlignment="1">
      <alignment/>
    </xf>
    <xf numFmtId="49" fontId="53" fillId="24" borderId="14" xfId="0" applyNumberFormat="1" applyFont="1" applyFill="1" applyBorder="1" applyAlignment="1">
      <alignment/>
    </xf>
    <xf numFmtId="164" fontId="53" fillId="24" borderId="14" xfId="0" applyNumberFormat="1" applyFont="1" applyFill="1" applyBorder="1" applyAlignment="1">
      <alignment/>
    </xf>
    <xf numFmtId="164" fontId="53" fillId="24" borderId="0" xfId="0" applyNumberFormat="1" applyFont="1" applyFill="1" applyBorder="1" applyAlignment="1">
      <alignment/>
    </xf>
    <xf numFmtId="49" fontId="53" fillId="24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 horizontal="left"/>
    </xf>
    <xf numFmtId="167" fontId="11" fillId="0" borderId="14" xfId="52" applyNumberFormat="1" applyFont="1" applyFill="1" applyBorder="1" applyAlignment="1" applyProtection="1">
      <alignment horizontal="left" vertical="center" wrapText="1"/>
      <protection hidden="1"/>
    </xf>
    <xf numFmtId="164" fontId="56" fillId="24" borderId="14" xfId="0" applyNumberFormat="1" applyFont="1" applyFill="1" applyBorder="1" applyAlignment="1">
      <alignment wrapText="1"/>
    </xf>
    <xf numFmtId="167" fontId="23" fillId="0" borderId="14" xfId="52" applyNumberFormat="1" applyFont="1" applyFill="1" applyBorder="1" applyAlignment="1" applyProtection="1">
      <alignment horizontal="left" vertical="center" wrapText="1" indent="1"/>
      <protection hidden="1"/>
    </xf>
    <xf numFmtId="0" fontId="23" fillId="0" borderId="14" xfId="0" applyFont="1" applyFill="1" applyBorder="1" applyAlignment="1">
      <alignment horizontal="left" vertical="center" wrapText="1" indent="1"/>
    </xf>
    <xf numFmtId="164" fontId="50" fillId="0" borderId="14" xfId="0" applyNumberFormat="1" applyFont="1" applyFill="1" applyBorder="1" applyAlignment="1">
      <alignment/>
    </xf>
    <xf numFmtId="0" fontId="74" fillId="0" borderId="14" xfId="0" applyFont="1" applyFill="1" applyBorder="1" applyAlignment="1">
      <alignment vertical="center" wrapText="1"/>
    </xf>
    <xf numFmtId="164" fontId="53" fillId="22" borderId="14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/>
    </xf>
    <xf numFmtId="164" fontId="9" fillId="22" borderId="14" xfId="0" applyNumberFormat="1" applyFont="1" applyFill="1" applyBorder="1" applyAlignment="1">
      <alignment/>
    </xf>
    <xf numFmtId="167" fontId="83" fillId="0" borderId="14" xfId="52" applyNumberFormat="1" applyFont="1" applyFill="1" applyBorder="1" applyAlignment="1" applyProtection="1">
      <alignment horizontal="left" vertical="center" wrapText="1"/>
      <protection hidden="1"/>
    </xf>
    <xf numFmtId="164" fontId="55" fillId="0" borderId="14" xfId="0" applyNumberFormat="1" applyFont="1" applyFill="1" applyBorder="1" applyAlignment="1">
      <alignment horizontal="center"/>
    </xf>
    <xf numFmtId="49" fontId="55" fillId="0" borderId="14" xfId="0" applyNumberFormat="1" applyFont="1" applyFill="1" applyBorder="1" applyAlignment="1">
      <alignment horizontal="center"/>
    </xf>
    <xf numFmtId="167" fontId="13" fillId="0" borderId="14" xfId="52" applyNumberFormat="1" applyFont="1" applyFill="1" applyBorder="1" applyAlignment="1" applyProtection="1">
      <alignment horizontal="left" vertical="center" wrapText="1"/>
      <protection hidden="1"/>
    </xf>
    <xf numFmtId="167" fontId="23" fillId="0" borderId="14" xfId="52" applyNumberFormat="1" applyFont="1" applyFill="1" applyBorder="1" applyAlignment="1" applyProtection="1">
      <alignment horizontal="left" vertical="center" wrapText="1"/>
      <protection hidden="1"/>
    </xf>
    <xf numFmtId="167" fontId="23" fillId="0" borderId="14" xfId="52" applyNumberFormat="1" applyFont="1" applyFill="1" applyBorder="1" applyAlignment="1" applyProtection="1">
      <alignment vertical="center" wrapText="1"/>
      <protection hidden="1"/>
    </xf>
    <xf numFmtId="164" fontId="9" fillId="0" borderId="14" xfId="0" applyNumberFormat="1" applyFont="1" applyFill="1" applyBorder="1" applyAlignment="1">
      <alignment horizontal="left" indent="1"/>
    </xf>
    <xf numFmtId="49" fontId="9" fillId="0" borderId="14" xfId="0" applyNumberFormat="1" applyFont="1" applyFill="1" applyBorder="1" applyAlignment="1">
      <alignment horizontal="left" indent="1"/>
    </xf>
    <xf numFmtId="164" fontId="9" fillId="0" borderId="14" xfId="0" applyNumberFormat="1" applyFont="1" applyFill="1" applyBorder="1" applyAlignment="1">
      <alignment horizontal="right" indent="1"/>
    </xf>
    <xf numFmtId="164" fontId="9" fillId="22" borderId="14" xfId="0" applyNumberFormat="1" applyFont="1" applyFill="1" applyBorder="1" applyAlignment="1">
      <alignment horizontal="right" indent="1"/>
    </xf>
    <xf numFmtId="164" fontId="12" fillId="25" borderId="14" xfId="0" applyNumberFormat="1" applyFont="1" applyFill="1" applyBorder="1" applyAlignment="1">
      <alignment horizontal="left" wrapText="1"/>
    </xf>
    <xf numFmtId="164" fontId="17" fillId="0" borderId="14" xfId="0" applyNumberFormat="1" applyFont="1" applyFill="1" applyBorder="1" applyAlignment="1">
      <alignment horizontal="left" wrapText="1"/>
    </xf>
    <xf numFmtId="164" fontId="12" fillId="0" borderId="14" xfId="0" applyNumberFormat="1" applyFont="1" applyFill="1" applyBorder="1" applyAlignment="1">
      <alignment horizontal="left" wrapText="1"/>
    </xf>
    <xf numFmtId="166" fontId="14" fillId="0" borderId="14" xfId="0" applyNumberFormat="1" applyFont="1" applyBorder="1" applyAlignment="1">
      <alignment horizontal="center"/>
    </xf>
    <xf numFmtId="166" fontId="12" fillId="0" borderId="14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wrapText="1"/>
    </xf>
    <xf numFmtId="164" fontId="5" fillId="22" borderId="14" xfId="0" applyNumberFormat="1" applyFont="1" applyFill="1" applyBorder="1" applyAlignment="1">
      <alignment wrapText="1"/>
    </xf>
    <xf numFmtId="49" fontId="2" fillId="22" borderId="14" xfId="0" applyNumberFormat="1" applyFont="1" applyFill="1" applyBorder="1" applyAlignment="1">
      <alignment/>
    </xf>
    <xf numFmtId="16" fontId="22" fillId="0" borderId="14" xfId="0" applyNumberFormat="1" applyFont="1" applyFill="1" applyBorder="1" applyAlignment="1">
      <alignment wrapText="1"/>
    </xf>
    <xf numFmtId="164" fontId="5" fillId="22" borderId="13" xfId="0" applyNumberFormat="1" applyFont="1" applyFill="1" applyBorder="1" applyAlignment="1">
      <alignment wrapText="1"/>
    </xf>
    <xf numFmtId="164" fontId="2" fillId="22" borderId="13" xfId="0" applyNumberFormat="1" applyFont="1" applyFill="1" applyBorder="1" applyAlignment="1">
      <alignment/>
    </xf>
    <xf numFmtId="49" fontId="2" fillId="22" borderId="13" xfId="0" applyNumberFormat="1" applyFont="1" applyFill="1" applyBorder="1" applyAlignment="1">
      <alignment/>
    </xf>
    <xf numFmtId="0" fontId="55" fillId="0" borderId="14" xfId="0" applyFont="1" applyFill="1" applyBorder="1" applyAlignment="1">
      <alignment wrapText="1"/>
    </xf>
    <xf numFmtId="49" fontId="55" fillId="24" borderId="14" xfId="0" applyNumberFormat="1" applyFont="1" applyFill="1" applyBorder="1" applyAlignment="1">
      <alignment/>
    </xf>
    <xf numFmtId="0" fontId="48" fillId="0" borderId="14" xfId="0" applyFont="1" applyFill="1" applyBorder="1" applyAlignment="1">
      <alignment wrapText="1"/>
    </xf>
    <xf numFmtId="164" fontId="48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 wrapText="1"/>
    </xf>
    <xf numFmtId="164" fontId="9" fillId="22" borderId="14" xfId="0" applyNumberFormat="1" applyFont="1" applyFill="1" applyBorder="1" applyAlignment="1">
      <alignment wrapText="1"/>
    </xf>
    <xf numFmtId="164" fontId="48" fillId="0" borderId="14" xfId="0" applyNumberFormat="1" applyFont="1" applyFill="1" applyBorder="1" applyAlignment="1">
      <alignment wrapText="1"/>
    </xf>
    <xf numFmtId="0" fontId="22" fillId="0" borderId="14" xfId="0" applyFont="1" applyFill="1" applyBorder="1" applyAlignment="1">
      <alignment wrapText="1"/>
    </xf>
    <xf numFmtId="164" fontId="22" fillId="0" borderId="14" xfId="0" applyNumberFormat="1" applyFont="1" applyFill="1" applyBorder="1" applyAlignment="1">
      <alignment horizontal="center"/>
    </xf>
    <xf numFmtId="164" fontId="84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79" fillId="0" borderId="14" xfId="0" applyFont="1" applyFill="1" applyBorder="1" applyAlignment="1">
      <alignment wrapText="1"/>
    </xf>
    <xf numFmtId="49" fontId="79" fillId="0" borderId="14" xfId="0" applyNumberFormat="1" applyFont="1" applyFill="1" applyBorder="1" applyAlignment="1">
      <alignment horizontal="center"/>
    </xf>
    <xf numFmtId="164" fontId="79" fillId="0" borderId="14" xfId="0" applyNumberFormat="1" applyFont="1" applyFill="1" applyBorder="1" applyAlignment="1">
      <alignment horizontal="center"/>
    </xf>
    <xf numFmtId="164" fontId="79" fillId="22" borderId="14" xfId="0" applyNumberFormat="1" applyFont="1" applyFill="1" applyBorder="1" applyAlignment="1">
      <alignment/>
    </xf>
    <xf numFmtId="0" fontId="15" fillId="0" borderId="14" xfId="0" applyFont="1" applyFill="1" applyBorder="1" applyAlignment="1">
      <alignment wrapText="1"/>
    </xf>
    <xf numFmtId="0" fontId="9" fillId="0" borderId="14" xfId="0" applyFont="1" applyBorder="1" applyAlignment="1">
      <alignment wrapText="1"/>
    </xf>
    <xf numFmtId="164" fontId="48" fillId="24" borderId="0" xfId="0" applyNumberFormat="1" applyFont="1" applyFill="1" applyBorder="1" applyAlignment="1">
      <alignment/>
    </xf>
    <xf numFmtId="164" fontId="9" fillId="24" borderId="14" xfId="0" applyNumberFormat="1" applyFont="1" applyFill="1" applyBorder="1" applyAlignment="1">
      <alignment wrapText="1"/>
    </xf>
    <xf numFmtId="164" fontId="22" fillId="24" borderId="14" xfId="0" applyNumberFormat="1" applyFont="1" applyFill="1" applyBorder="1" applyAlignment="1">
      <alignment/>
    </xf>
    <xf numFmtId="164" fontId="85" fillId="0" borderId="14" xfId="0" applyNumberFormat="1" applyFont="1" applyFill="1" applyBorder="1" applyAlignment="1">
      <alignment/>
    </xf>
    <xf numFmtId="164" fontId="48" fillId="24" borderId="14" xfId="0" applyNumberFormat="1" applyFont="1" applyFill="1" applyBorder="1" applyAlignment="1">
      <alignment/>
    </xf>
    <xf numFmtId="164" fontId="55" fillId="24" borderId="14" xfId="0" applyNumberFormat="1" applyFont="1" applyFill="1" applyBorder="1" applyAlignment="1">
      <alignment wrapText="1"/>
    </xf>
    <xf numFmtId="164" fontId="51" fillId="0" borderId="14" xfId="0" applyNumberFormat="1" applyFont="1" applyFill="1" applyBorder="1" applyAlignment="1">
      <alignment/>
    </xf>
    <xf numFmtId="164" fontId="15" fillId="0" borderId="14" xfId="0" applyNumberFormat="1" applyFont="1" applyFill="1" applyBorder="1" applyAlignment="1">
      <alignment wrapText="1"/>
    </xf>
    <xf numFmtId="164" fontId="53" fillId="0" borderId="0" xfId="0" applyNumberFormat="1" applyFont="1" applyFill="1" applyBorder="1" applyAlignment="1">
      <alignment/>
    </xf>
    <xf numFmtId="49" fontId="53" fillId="0" borderId="0" xfId="0" applyNumberFormat="1" applyFont="1" applyFill="1" applyBorder="1" applyAlignment="1">
      <alignment horizontal="center"/>
    </xf>
    <xf numFmtId="164" fontId="78" fillId="0" borderId="0" xfId="0" applyNumberFormat="1" applyFont="1" applyFill="1" applyBorder="1" applyAlignment="1">
      <alignment/>
    </xf>
    <xf numFmtId="49" fontId="78" fillId="0" borderId="0" xfId="0" applyNumberFormat="1" applyFont="1" applyFill="1" applyBorder="1" applyAlignment="1">
      <alignment horizontal="center"/>
    </xf>
    <xf numFmtId="164" fontId="78" fillId="0" borderId="0" xfId="0" applyNumberFormat="1" applyFont="1" applyFill="1" applyBorder="1" applyAlignment="1">
      <alignment/>
    </xf>
    <xf numFmtId="164" fontId="78" fillId="24" borderId="14" xfId="0" applyNumberFormat="1" applyFont="1" applyFill="1" applyBorder="1" applyAlignment="1">
      <alignment wrapText="1"/>
    </xf>
    <xf numFmtId="164" fontId="72" fillId="24" borderId="14" xfId="0" applyNumberFormat="1" applyFont="1" applyFill="1" applyBorder="1" applyAlignment="1">
      <alignment/>
    </xf>
    <xf numFmtId="49" fontId="72" fillId="24" borderId="14" xfId="0" applyNumberFormat="1" applyFont="1" applyFill="1" applyBorder="1" applyAlignment="1">
      <alignment/>
    </xf>
    <xf numFmtId="164" fontId="78" fillId="24" borderId="14" xfId="0" applyNumberFormat="1" applyFont="1" applyFill="1" applyBorder="1" applyAlignment="1">
      <alignment/>
    </xf>
    <xf numFmtId="164" fontId="75" fillId="0" borderId="14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164" fontId="16" fillId="22" borderId="14" xfId="0" applyNumberFormat="1" applyFont="1" applyFill="1" applyBorder="1" applyAlignment="1">
      <alignment wrapText="1"/>
    </xf>
    <xf numFmtId="164" fontId="12" fillId="0" borderId="14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>
      <alignment wrapText="1"/>
    </xf>
    <xf numFmtId="3" fontId="14" fillId="24" borderId="0" xfId="0" applyNumberFormat="1" applyFont="1" applyFill="1" applyBorder="1" applyAlignment="1">
      <alignment/>
    </xf>
    <xf numFmtId="164" fontId="16" fillId="22" borderId="13" xfId="0" applyNumberFormat="1" applyFont="1" applyFill="1" applyBorder="1" applyAlignment="1">
      <alignment wrapText="1"/>
    </xf>
    <xf numFmtId="164" fontId="14" fillId="22" borderId="13" xfId="0" applyNumberFormat="1" applyFont="1" applyFill="1" applyBorder="1" applyAlignment="1">
      <alignment/>
    </xf>
    <xf numFmtId="49" fontId="12" fillId="22" borderId="13" xfId="0" applyNumberFormat="1" applyFont="1" applyFill="1" applyBorder="1" applyAlignment="1">
      <alignment/>
    </xf>
    <xf numFmtId="164" fontId="12" fillId="22" borderId="13" xfId="0" applyNumberFormat="1" applyFont="1" applyFill="1" applyBorder="1" applyAlignment="1">
      <alignment/>
    </xf>
    <xf numFmtId="49" fontId="81" fillId="24" borderId="14" xfId="0" applyNumberFormat="1" applyFont="1" applyFill="1" applyBorder="1" applyAlignment="1">
      <alignment/>
    </xf>
    <xf numFmtId="164" fontId="81" fillId="24" borderId="14" xfId="0" applyNumberFormat="1" applyFont="1" applyFill="1" applyBorder="1" applyAlignment="1">
      <alignment/>
    </xf>
    <xf numFmtId="164" fontId="12" fillId="25" borderId="14" xfId="0" applyNumberFormat="1" applyFont="1" applyFill="1" applyBorder="1" applyAlignment="1">
      <alignment vertical="center" wrapText="1"/>
    </xf>
    <xf numFmtId="0" fontId="14" fillId="0" borderId="0" xfId="0" applyNumberFormat="1" applyFont="1" applyFill="1" applyBorder="1" applyAlignment="1">
      <alignment/>
    </xf>
    <xf numFmtId="49" fontId="14" fillId="22" borderId="14" xfId="0" applyNumberFormat="1" applyFont="1" applyFill="1" applyBorder="1" applyAlignment="1">
      <alignment horizontal="center"/>
    </xf>
    <xf numFmtId="164" fontId="14" fillId="0" borderId="14" xfId="0" applyNumberFormat="1" applyFont="1" applyFill="1" applyBorder="1" applyAlignment="1">
      <alignment/>
    </xf>
    <xf numFmtId="164" fontId="12" fillId="0" borderId="14" xfId="0" applyNumberFormat="1" applyFont="1" applyFill="1" applyBorder="1" applyAlignment="1">
      <alignment vertical="center"/>
    </xf>
    <xf numFmtId="49" fontId="12" fillId="0" borderId="14" xfId="0" applyNumberFormat="1" applyFont="1" applyFill="1" applyBorder="1" applyAlignment="1">
      <alignment vertical="center"/>
    </xf>
    <xf numFmtId="164" fontId="14" fillId="0" borderId="14" xfId="0" applyNumberFormat="1" applyFont="1" applyFill="1" applyBorder="1" applyAlignment="1">
      <alignment horizontal="right" vertical="center"/>
    </xf>
    <xf numFmtId="164" fontId="14" fillId="24" borderId="14" xfId="0" applyNumberFormat="1" applyFont="1" applyFill="1" applyBorder="1" applyAlignment="1">
      <alignment horizontal="right" vertical="center"/>
    </xf>
    <xf numFmtId="164" fontId="14" fillId="7" borderId="14" xfId="0" applyNumberFormat="1" applyFont="1" applyFill="1" applyBorder="1" applyAlignment="1">
      <alignment vertical="center"/>
    </xf>
    <xf numFmtId="164" fontId="15" fillId="0" borderId="14" xfId="0" applyNumberFormat="1" applyFont="1" applyFill="1" applyBorder="1" applyAlignment="1">
      <alignment vertical="center"/>
    </xf>
    <xf numFmtId="164" fontId="21" fillId="0" borderId="14" xfId="0" applyNumberFormat="1" applyFont="1" applyFill="1" applyBorder="1" applyAlignment="1">
      <alignment vertical="center" wrapText="1"/>
    </xf>
    <xf numFmtId="164" fontId="80" fillId="24" borderId="14" xfId="0" applyNumberFormat="1" applyFont="1" applyFill="1" applyBorder="1" applyAlignment="1">
      <alignment horizontal="right" vertical="center"/>
    </xf>
    <xf numFmtId="164" fontId="79" fillId="24" borderId="14" xfId="0" applyNumberFormat="1" applyFont="1" applyFill="1" applyBorder="1" applyAlignment="1">
      <alignment horizontal="right" vertical="center"/>
    </xf>
    <xf numFmtId="49" fontId="67" fillId="0" borderId="14" xfId="0" applyNumberFormat="1" applyFont="1" applyFill="1" applyBorder="1" applyAlignment="1">
      <alignment horizontal="center"/>
    </xf>
    <xf numFmtId="0" fontId="67" fillId="0" borderId="14" xfId="0" applyFont="1" applyBorder="1" applyAlignment="1">
      <alignment wrapText="1"/>
    </xf>
    <xf numFmtId="164" fontId="18" fillId="0" borderId="0" xfId="0" applyNumberFormat="1" applyFont="1" applyFill="1" applyBorder="1" applyAlignment="1">
      <alignment wrapText="1"/>
    </xf>
    <xf numFmtId="164" fontId="18" fillId="0" borderId="14" xfId="0" applyNumberFormat="1" applyFont="1" applyFill="1" applyBorder="1" applyAlignment="1">
      <alignment wrapText="1"/>
    </xf>
    <xf numFmtId="49" fontId="18" fillId="0" borderId="14" xfId="0" applyNumberFormat="1" applyFont="1" applyFill="1" applyBorder="1" applyAlignment="1">
      <alignment/>
    </xf>
    <xf numFmtId="167" fontId="24" fillId="0" borderId="14" xfId="52" applyNumberFormat="1" applyFont="1" applyFill="1" applyBorder="1" applyAlignment="1" applyProtection="1">
      <alignment horizontal="left" vertical="center" wrapText="1" indent="1"/>
      <protection hidden="1"/>
    </xf>
    <xf numFmtId="167" fontId="86" fillId="0" borderId="14" xfId="52" applyNumberFormat="1" applyFont="1" applyFill="1" applyBorder="1" applyAlignment="1" applyProtection="1">
      <alignment horizontal="left" vertical="center" wrapText="1"/>
      <protection hidden="1"/>
    </xf>
    <xf numFmtId="167" fontId="86" fillId="0" borderId="14" xfId="52" applyNumberFormat="1" applyFont="1" applyFill="1" applyBorder="1" applyAlignment="1" applyProtection="1">
      <alignment horizontal="left" vertical="center" wrapText="1"/>
      <protection hidden="1"/>
    </xf>
    <xf numFmtId="164" fontId="52" fillId="0" borderId="14" xfId="0" applyNumberFormat="1" applyFont="1" applyFill="1" applyBorder="1" applyAlignment="1">
      <alignment/>
    </xf>
    <xf numFmtId="164" fontId="52" fillId="0" borderId="14" xfId="0" applyNumberFormat="1" applyFont="1" applyFill="1" applyBorder="1" applyAlignment="1">
      <alignment horizontal="center"/>
    </xf>
    <xf numFmtId="49" fontId="52" fillId="0" borderId="14" xfId="0" applyNumberFormat="1" applyFont="1" applyFill="1" applyBorder="1" applyAlignment="1">
      <alignment horizontal="center"/>
    </xf>
    <xf numFmtId="167" fontId="87" fillId="0" borderId="14" xfId="52" applyNumberFormat="1" applyFont="1" applyFill="1" applyBorder="1" applyAlignment="1" applyProtection="1">
      <alignment horizontal="left" vertical="center" wrapText="1"/>
      <protection hidden="1"/>
    </xf>
    <xf numFmtId="164" fontId="18" fillId="0" borderId="14" xfId="0" applyNumberFormat="1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/>
    </xf>
    <xf numFmtId="4" fontId="53" fillId="0" borderId="14" xfId="0" applyNumberFormat="1" applyFont="1" applyFill="1" applyBorder="1" applyAlignment="1">
      <alignment/>
    </xf>
    <xf numFmtId="4" fontId="18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 horizontal="left" wrapText="1"/>
    </xf>
    <xf numFmtId="164" fontId="24" fillId="0" borderId="14" xfId="0" applyNumberFormat="1" applyFont="1" applyFill="1" applyBorder="1" applyAlignment="1">
      <alignment horizontal="center" wrapText="1"/>
    </xf>
    <xf numFmtId="164" fontId="24" fillId="0" borderId="14" xfId="0" applyNumberFormat="1" applyFont="1" applyFill="1" applyBorder="1" applyAlignment="1">
      <alignment horizontal="center"/>
    </xf>
    <xf numFmtId="49" fontId="24" fillId="0" borderId="14" xfId="0" applyNumberFormat="1" applyFont="1" applyFill="1" applyBorder="1" applyAlignment="1">
      <alignment horizontal="center"/>
    </xf>
    <xf numFmtId="164" fontId="24" fillId="0" borderId="14" xfId="0" applyNumberFormat="1" applyFont="1" applyFill="1" applyBorder="1" applyAlignment="1">
      <alignment/>
    </xf>
    <xf numFmtId="164" fontId="24" fillId="22" borderId="14" xfId="0" applyNumberFormat="1" applyFont="1" applyFill="1" applyBorder="1" applyAlignment="1">
      <alignment/>
    </xf>
    <xf numFmtId="22" fontId="24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22" fontId="2" fillId="0" borderId="14" xfId="0" applyNumberFormat="1" applyFont="1" applyFill="1" applyBorder="1" applyAlignment="1">
      <alignment/>
    </xf>
    <xf numFmtId="164" fontId="24" fillId="0" borderId="0" xfId="0" applyNumberFormat="1" applyFont="1" applyFill="1" applyBorder="1" applyAlignment="1">
      <alignment/>
    </xf>
    <xf numFmtId="0" fontId="76" fillId="0" borderId="14" xfId="0" applyFont="1" applyFill="1" applyBorder="1" applyAlignment="1">
      <alignment vertical="center" wrapText="1"/>
    </xf>
    <xf numFmtId="164" fontId="3" fillId="24" borderId="0" xfId="0" applyNumberFormat="1" applyFont="1" applyFill="1" applyBorder="1" applyAlignment="1">
      <alignment/>
    </xf>
    <xf numFmtId="0" fontId="9" fillId="0" borderId="13" xfId="0" applyFont="1" applyBorder="1" applyAlignment="1">
      <alignment wrapText="1"/>
    </xf>
    <xf numFmtId="164" fontId="9" fillId="0" borderId="13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9" fillId="22" borderId="13" xfId="0" applyNumberFormat="1" applyFont="1" applyFill="1" applyBorder="1" applyAlignment="1">
      <alignment/>
    </xf>
    <xf numFmtId="0" fontId="12" fillId="0" borderId="14" xfId="0" applyFont="1" applyFill="1" applyBorder="1" applyAlignment="1">
      <alignment vertical="center" wrapText="1"/>
    </xf>
    <xf numFmtId="22" fontId="12" fillId="0" borderId="14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169" fontId="7" fillId="0" borderId="19" xfId="0" applyNumberFormat="1" applyFont="1" applyFill="1" applyBorder="1" applyAlignment="1">
      <alignment/>
    </xf>
    <xf numFmtId="49" fontId="53" fillId="0" borderId="14" xfId="0" applyNumberFormat="1" applyFont="1" applyFill="1" applyBorder="1" applyAlignment="1">
      <alignment horizontal="center" wrapText="1"/>
    </xf>
    <xf numFmtId="164" fontId="53" fillId="22" borderId="14" xfId="0" applyNumberFormat="1" applyFont="1" applyFill="1" applyBorder="1" applyAlignment="1">
      <alignment wrapText="1"/>
    </xf>
    <xf numFmtId="164" fontId="55" fillId="0" borderId="14" xfId="0" applyNumberFormat="1" applyFont="1" applyFill="1" applyBorder="1" applyAlignment="1">
      <alignment wrapText="1"/>
    </xf>
    <xf numFmtId="164" fontId="53" fillId="24" borderId="14" xfId="0" applyNumberFormat="1" applyFont="1" applyFill="1" applyBorder="1" applyAlignment="1">
      <alignment/>
    </xf>
    <xf numFmtId="4" fontId="12" fillId="0" borderId="14" xfId="0" applyNumberFormat="1" applyFont="1" applyFill="1" applyBorder="1" applyAlignment="1">
      <alignment/>
    </xf>
    <xf numFmtId="164" fontId="88" fillId="0" borderId="14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left" wrapText="1"/>
    </xf>
    <xf numFmtId="164" fontId="9" fillId="0" borderId="13" xfId="0" applyNumberFormat="1" applyFont="1" applyFill="1" applyBorder="1" applyAlignment="1">
      <alignment horizontal="left" wrapText="1"/>
    </xf>
    <xf numFmtId="0" fontId="2" fillId="0" borderId="17" xfId="0" applyFont="1" applyFill="1" applyBorder="1" applyAlignment="1">
      <alignment textRotation="90" wrapText="1"/>
    </xf>
    <xf numFmtId="0" fontId="2" fillId="0" borderId="13" xfId="0" applyFont="1" applyFill="1" applyBorder="1" applyAlignment="1">
      <alignment textRotation="90" wrapText="1"/>
    </xf>
    <xf numFmtId="49" fontId="2" fillId="0" borderId="12" xfId="0" applyNumberFormat="1" applyFont="1" applyFill="1" applyBorder="1" applyAlignment="1">
      <alignment horizontal="center" vertical="center" textRotation="90" wrapText="1"/>
    </xf>
    <xf numFmtId="49" fontId="2" fillId="0" borderId="17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 textRotation="90" wrapText="1"/>
    </xf>
    <xf numFmtId="0" fontId="6" fillId="24" borderId="12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2" fillId="0" borderId="12" xfId="0" applyFont="1" applyFill="1" applyBorder="1" applyAlignment="1">
      <alignment textRotation="90" wrapText="1"/>
    </xf>
    <xf numFmtId="0" fontId="53" fillId="0" borderId="14" xfId="0" applyFont="1" applyFill="1" applyBorder="1" applyAlignment="1">
      <alignment wrapText="1"/>
    </xf>
    <xf numFmtId="164" fontId="14" fillId="0" borderId="14" xfId="0" applyNumberFormat="1" applyFont="1" applyFill="1" applyBorder="1" applyAlignment="1">
      <alignment vertical="center" wrapText="1"/>
    </xf>
    <xf numFmtId="164" fontId="44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64" fontId="43" fillId="0" borderId="0" xfId="0" applyNumberFormat="1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19" fillId="0" borderId="12" xfId="0" applyFont="1" applyFill="1" applyBorder="1" applyAlignment="1">
      <alignment horizontal="center" vertical="center" textRotation="90" wrapText="1"/>
    </xf>
    <xf numFmtId="0" fontId="20" fillId="0" borderId="17" xfId="0" applyFont="1" applyFill="1" applyBorder="1" applyAlignment="1">
      <alignment horizontal="center" vertical="center" textRotation="90" wrapText="1"/>
    </xf>
    <xf numFmtId="0" fontId="20" fillId="0" borderId="13" xfId="0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49" fontId="6" fillId="0" borderId="17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164" fontId="19" fillId="0" borderId="12" xfId="0" applyNumberFormat="1" applyFont="1" applyFill="1" applyBorder="1" applyAlignment="1">
      <alignment horizontal="center" vertical="center" textRotation="90" wrapText="1"/>
    </xf>
    <xf numFmtId="164" fontId="19" fillId="0" borderId="17" xfId="0" applyNumberFormat="1" applyFont="1" applyFill="1" applyBorder="1" applyAlignment="1">
      <alignment horizontal="center" vertical="center" textRotation="90" wrapText="1"/>
    </xf>
    <xf numFmtId="164" fontId="19" fillId="0" borderId="13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169" fontId="6" fillId="0" borderId="15" xfId="0" applyNumberFormat="1" applyFont="1" applyFill="1" applyBorder="1" applyAlignment="1">
      <alignment horizontal="center"/>
    </xf>
    <xf numFmtId="169" fontId="6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 wrapText="1"/>
    </xf>
    <xf numFmtId="3" fontId="7" fillId="0" borderId="13" xfId="0" applyNumberFormat="1" applyFont="1" applyFill="1" applyBorder="1" applyAlignment="1">
      <alignment horizontal="center" wrapText="1"/>
    </xf>
    <xf numFmtId="164" fontId="22" fillId="0" borderId="14" xfId="0" applyNumberFormat="1" applyFont="1" applyFill="1" applyBorder="1" applyAlignment="1">
      <alignment horizontal="left" wrapText="1"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4" fontId="22" fillId="0" borderId="12" xfId="0" applyNumberFormat="1" applyFont="1" applyFill="1" applyBorder="1" applyAlignment="1">
      <alignment horizontal="left" wrapText="1"/>
    </xf>
    <xf numFmtId="164" fontId="22" fillId="0" borderId="13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textRotation="90" wrapText="1"/>
    </xf>
    <xf numFmtId="49" fontId="12" fillId="0" borderId="17" xfId="0" applyNumberFormat="1" applyFont="1" applyFill="1" applyBorder="1" applyAlignment="1">
      <alignment horizontal="center" vertical="center" textRotation="90" wrapText="1"/>
    </xf>
    <xf numFmtId="49" fontId="12" fillId="0" borderId="13" xfId="0" applyNumberFormat="1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12" xfId="0" applyFont="1" applyFill="1" applyBorder="1" applyAlignment="1">
      <alignment textRotation="90" wrapText="1"/>
    </xf>
    <xf numFmtId="0" fontId="12" fillId="0" borderId="17" xfId="0" applyFont="1" applyFill="1" applyBorder="1" applyAlignment="1">
      <alignment textRotation="90" wrapText="1"/>
    </xf>
    <xf numFmtId="0" fontId="12" fillId="0" borderId="13" xfId="0" applyFont="1" applyFill="1" applyBorder="1" applyAlignment="1">
      <alignment textRotation="90" wrapText="1"/>
    </xf>
    <xf numFmtId="0" fontId="12" fillId="0" borderId="12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23" fillId="0" borderId="14" xfId="0" applyNumberFormat="1" applyFont="1" applyFill="1" applyBorder="1" applyAlignment="1">
      <alignment horizontal="left" wrapText="1"/>
    </xf>
    <xf numFmtId="0" fontId="6" fillId="0" borderId="12" xfId="0" applyFont="1" applyFill="1" applyBorder="1" applyAlignment="1">
      <alignment textRotation="90" wrapText="1"/>
    </xf>
    <xf numFmtId="0" fontId="0" fillId="0" borderId="17" xfId="0" applyFill="1" applyBorder="1" applyAlignment="1">
      <alignment textRotation="90" wrapText="1"/>
    </xf>
    <xf numFmtId="0" fontId="0" fillId="0" borderId="13" xfId="0" applyFill="1" applyBorder="1" applyAlignment="1">
      <alignment textRotation="90" wrapText="1"/>
    </xf>
    <xf numFmtId="0" fontId="24" fillId="0" borderId="14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6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left" wrapText="1"/>
    </xf>
    <xf numFmtId="0" fontId="18" fillId="0" borderId="13" xfId="0" applyNumberFormat="1" applyFont="1" applyFill="1" applyBorder="1" applyAlignment="1">
      <alignment horizontal="left" wrapText="1"/>
    </xf>
    <xf numFmtId="0" fontId="0" fillId="0" borderId="17" xfId="0" applyFont="1" applyFill="1" applyBorder="1" applyAlignment="1">
      <alignment textRotation="90" wrapText="1"/>
    </xf>
    <xf numFmtId="0" fontId="0" fillId="0" borderId="13" xfId="0" applyFont="1" applyFill="1" applyBorder="1" applyAlignment="1">
      <alignment textRotation="90" wrapText="1"/>
    </xf>
    <xf numFmtId="167" fontId="11" fillId="0" borderId="14" xfId="52" applyNumberFormat="1" applyFont="1" applyFill="1" applyBorder="1" applyAlignment="1" applyProtection="1">
      <alignment horizontal="left" vertical="center" wrapText="1"/>
      <protection hidden="1"/>
    </xf>
    <xf numFmtId="168" fontId="11" fillId="0" borderId="14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/>
    </xf>
    <xf numFmtId="0" fontId="0" fillId="0" borderId="14" xfId="0" applyBorder="1" applyAlignment="1">
      <alignment wrapText="1"/>
    </xf>
    <xf numFmtId="0" fontId="7" fillId="24" borderId="10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6" fillId="24" borderId="12" xfId="0" applyFont="1" applyFill="1" applyBorder="1" applyAlignment="1">
      <alignment textRotation="90" wrapText="1"/>
    </xf>
    <xf numFmtId="0" fontId="6" fillId="24" borderId="17" xfId="0" applyFont="1" applyFill="1" applyBorder="1" applyAlignment="1">
      <alignment textRotation="90" wrapText="1"/>
    </xf>
    <xf numFmtId="0" fontId="6" fillId="24" borderId="13" xfId="0" applyFont="1" applyFill="1" applyBorder="1" applyAlignment="1">
      <alignment textRotation="90" wrapText="1"/>
    </xf>
    <xf numFmtId="49" fontId="25" fillId="0" borderId="12" xfId="0" applyNumberFormat="1" applyFont="1" applyFill="1" applyBorder="1" applyAlignment="1">
      <alignment horizontal="center" vertical="center" textRotation="90" wrapText="1"/>
    </xf>
    <xf numFmtId="49" fontId="25" fillId="0" borderId="17" xfId="0" applyNumberFormat="1" applyFont="1" applyFill="1" applyBorder="1" applyAlignment="1">
      <alignment horizontal="center" vertical="center" textRotation="90" wrapText="1"/>
    </xf>
    <xf numFmtId="49" fontId="25" fillId="0" borderId="13" xfId="0" applyNumberFormat="1" applyFont="1" applyFill="1" applyBorder="1" applyAlignment="1">
      <alignment horizontal="center" vertical="center" textRotation="90" wrapText="1"/>
    </xf>
    <xf numFmtId="0" fontId="23" fillId="0" borderId="12" xfId="0" applyNumberFormat="1" applyFont="1" applyFill="1" applyBorder="1" applyAlignment="1">
      <alignment horizontal="left" wrapText="1"/>
    </xf>
    <xf numFmtId="0" fontId="23" fillId="0" borderId="13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0" fontId="49" fillId="0" borderId="13" xfId="0" applyFont="1" applyFill="1" applyBorder="1" applyAlignment="1">
      <alignment/>
    </xf>
    <xf numFmtId="49" fontId="12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textRotation="90" wrapText="1"/>
    </xf>
    <xf numFmtId="0" fontId="2" fillId="0" borderId="21" xfId="0" applyFont="1" applyFill="1" applyBorder="1" applyAlignment="1">
      <alignment textRotation="90" wrapText="1"/>
    </xf>
    <xf numFmtId="0" fontId="14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textRotation="90" wrapText="1"/>
    </xf>
    <xf numFmtId="0" fontId="12" fillId="0" borderId="17" xfId="0" applyFont="1" applyFill="1" applyBorder="1" applyAlignment="1">
      <alignment horizontal="center" textRotation="90" wrapText="1"/>
    </xf>
    <xf numFmtId="0" fontId="12" fillId="0" borderId="13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49" fontId="12" fillId="0" borderId="17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L159"/>
  <sheetViews>
    <sheetView zoomScale="130" zoomScaleNormal="13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7" sqref="H7"/>
    </sheetView>
  </sheetViews>
  <sheetFormatPr defaultColWidth="9.125" defaultRowHeight="12.75" outlineLevelRow="1" outlineLevelCol="1"/>
  <cols>
    <col min="1" max="1" width="49.00390625" style="1" customWidth="1"/>
    <col min="2" max="2" width="9.25390625" style="8" customWidth="1"/>
    <col min="3" max="3" width="6.25390625" style="2" customWidth="1"/>
    <col min="4" max="4" width="6.375" style="1" customWidth="1"/>
    <col min="5" max="5" width="4.25390625" style="2" customWidth="1"/>
    <col min="6" max="6" width="5.375" style="2" customWidth="1"/>
    <col min="7" max="7" width="11.625" style="2" customWidth="1" outlineLevel="1"/>
    <col min="8" max="8" width="13.25390625" style="1" customWidth="1"/>
    <col min="9" max="9" width="7.375" style="1" customWidth="1" outlineLevel="1"/>
    <col min="10" max="10" width="9.125" style="1" customWidth="1"/>
    <col min="11" max="11" width="9.875" style="1" bestFit="1" customWidth="1"/>
    <col min="12" max="16384" width="9.125" style="1" customWidth="1"/>
  </cols>
  <sheetData>
    <row r="1" spans="2:9" s="58" customFormat="1" ht="12" customHeight="1">
      <c r="B1" s="96"/>
      <c r="C1" s="69"/>
      <c r="E1" s="69"/>
      <c r="F1" s="69"/>
      <c r="G1" s="69"/>
      <c r="H1" s="606" t="s">
        <v>388</v>
      </c>
      <c r="I1" s="606"/>
    </row>
    <row r="2" spans="1:8" s="58" customFormat="1" ht="23.25" customHeight="1">
      <c r="A2" s="604" t="s">
        <v>189</v>
      </c>
      <c r="B2" s="605"/>
      <c r="C2" s="605"/>
      <c r="D2" s="605"/>
      <c r="E2" s="605"/>
      <c r="F2" s="605"/>
      <c r="G2" s="605"/>
      <c r="H2" s="605"/>
    </row>
    <row r="3" spans="2:8" s="58" customFormat="1" ht="16.5" customHeight="1">
      <c r="B3" s="96"/>
      <c r="C3" s="69"/>
      <c r="E3" s="69"/>
      <c r="F3" s="69"/>
      <c r="G3" s="69"/>
      <c r="H3" s="97" t="s">
        <v>147</v>
      </c>
    </row>
    <row r="4" spans="1:9" s="72" customFormat="1" ht="40.5" customHeight="1">
      <c r="A4" s="70" t="s">
        <v>148</v>
      </c>
      <c r="B4" s="70" t="s">
        <v>213</v>
      </c>
      <c r="C4" s="71" t="s">
        <v>214</v>
      </c>
      <c r="D4" s="70" t="s">
        <v>215</v>
      </c>
      <c r="E4" s="71" t="s">
        <v>216</v>
      </c>
      <c r="F4" s="71" t="s">
        <v>218</v>
      </c>
      <c r="G4" s="70" t="s">
        <v>326</v>
      </c>
      <c r="H4" s="139" t="s">
        <v>301</v>
      </c>
      <c r="I4" s="90" t="s">
        <v>328</v>
      </c>
    </row>
    <row r="5" spans="1:12" ht="14.25" customHeight="1">
      <c r="A5" s="73" t="s">
        <v>217</v>
      </c>
      <c r="B5" s="80"/>
      <c r="C5" s="74"/>
      <c r="D5" s="75"/>
      <c r="E5" s="74"/>
      <c r="F5" s="74"/>
      <c r="G5" s="76">
        <f>G6+G52+G79+G96+G103+G122+G132+G153</f>
        <v>870956.8</v>
      </c>
      <c r="H5" s="76">
        <f>H6+H52+H79+H96+H103+H122+H132+H153</f>
        <v>610528.2999999999</v>
      </c>
      <c r="I5" s="76">
        <f>H5/G5*100</f>
        <v>70.098574349497</v>
      </c>
      <c r="J5" s="2"/>
      <c r="L5" s="1" t="s">
        <v>129</v>
      </c>
    </row>
    <row r="6" spans="1:9" s="7" customFormat="1" ht="27" customHeight="1">
      <c r="A6" s="42" t="s">
        <v>134</v>
      </c>
      <c r="B6" s="77" t="s">
        <v>220</v>
      </c>
      <c r="C6" s="78"/>
      <c r="D6" s="78"/>
      <c r="E6" s="78"/>
      <c r="F6" s="78"/>
      <c r="G6" s="40">
        <f>G7+G17+G27+G34+G42+G47</f>
        <v>537565.1</v>
      </c>
      <c r="H6" s="40">
        <f>H7+H17+H27+H34+H42+H47</f>
        <v>423882.6</v>
      </c>
      <c r="I6" s="40">
        <f aca="true" t="shared" si="0" ref="I6:I64">H6/G6*100</f>
        <v>78.85232876911094</v>
      </c>
    </row>
    <row r="7" spans="1:9" ht="51.75" customHeight="1">
      <c r="A7" s="79" t="s">
        <v>191</v>
      </c>
      <c r="B7" s="80" t="s">
        <v>221</v>
      </c>
      <c r="C7" s="81"/>
      <c r="D7" s="39"/>
      <c r="E7" s="81"/>
      <c r="F7" s="81"/>
      <c r="G7" s="40">
        <f aca="true" t="shared" si="1" ref="G7:H9">SUM(G8)</f>
        <v>99422.3</v>
      </c>
      <c r="H7" s="140">
        <f t="shared" si="1"/>
        <v>64653.9</v>
      </c>
      <c r="I7" s="40">
        <f t="shared" si="0"/>
        <v>65.02957585974173</v>
      </c>
    </row>
    <row r="8" spans="1:9" ht="28.5" customHeight="1">
      <c r="A8" s="79" t="s">
        <v>230</v>
      </c>
      <c r="B8" s="80" t="s">
        <v>221</v>
      </c>
      <c r="C8" s="82" t="s">
        <v>231</v>
      </c>
      <c r="D8" s="39"/>
      <c r="E8" s="81"/>
      <c r="F8" s="81"/>
      <c r="G8" s="40">
        <f t="shared" si="1"/>
        <v>99422.3</v>
      </c>
      <c r="H8" s="140">
        <f t="shared" si="1"/>
        <v>64653.9</v>
      </c>
      <c r="I8" s="40">
        <f t="shared" si="0"/>
        <v>65.02957585974173</v>
      </c>
    </row>
    <row r="9" spans="1:9" ht="12.75">
      <c r="A9" s="83" t="s">
        <v>264</v>
      </c>
      <c r="B9" s="80" t="s">
        <v>221</v>
      </c>
      <c r="C9" s="80" t="s">
        <v>231</v>
      </c>
      <c r="D9" s="80" t="s">
        <v>263</v>
      </c>
      <c r="E9" s="80"/>
      <c r="F9" s="80"/>
      <c r="G9" s="39">
        <f t="shared" si="1"/>
        <v>99422.3</v>
      </c>
      <c r="H9" s="141">
        <f t="shared" si="1"/>
        <v>64653.9</v>
      </c>
      <c r="I9" s="39">
        <f t="shared" si="0"/>
        <v>65.02957585974173</v>
      </c>
    </row>
    <row r="10" spans="1:9" ht="12.75">
      <c r="A10" s="83" t="s">
        <v>284</v>
      </c>
      <c r="B10" s="80" t="s">
        <v>221</v>
      </c>
      <c r="C10" s="80" t="s">
        <v>231</v>
      </c>
      <c r="D10" s="80" t="s">
        <v>263</v>
      </c>
      <c r="E10" s="80" t="s">
        <v>250</v>
      </c>
      <c r="F10" s="80"/>
      <c r="G10" s="39">
        <f>SUM(G11+G13)</f>
        <v>99422.3</v>
      </c>
      <c r="H10" s="141">
        <f>SUM(H11+H13)</f>
        <v>64653.9</v>
      </c>
      <c r="I10" s="39">
        <f t="shared" si="0"/>
        <v>65.02957585974173</v>
      </c>
    </row>
    <row r="11" spans="1:9" ht="12.75">
      <c r="A11" s="83" t="s">
        <v>257</v>
      </c>
      <c r="B11" s="80" t="s">
        <v>221</v>
      </c>
      <c r="C11" s="80" t="s">
        <v>231</v>
      </c>
      <c r="D11" s="80" t="s">
        <v>263</v>
      </c>
      <c r="E11" s="80" t="s">
        <v>250</v>
      </c>
      <c r="F11" s="80" t="s">
        <v>258</v>
      </c>
      <c r="G11" s="39">
        <f>SUM(G12)</f>
        <v>3129.6</v>
      </c>
      <c r="H11" s="141">
        <f>SUM(H12)</f>
        <v>0</v>
      </c>
      <c r="I11" s="39">
        <f t="shared" si="0"/>
        <v>0</v>
      </c>
    </row>
    <row r="12" spans="1:9" ht="25.5">
      <c r="A12" s="41" t="s">
        <v>192</v>
      </c>
      <c r="B12" s="80" t="s">
        <v>221</v>
      </c>
      <c r="C12" s="80" t="s">
        <v>231</v>
      </c>
      <c r="D12" s="80" t="s">
        <v>263</v>
      </c>
      <c r="E12" s="80" t="s">
        <v>250</v>
      </c>
      <c r="F12" s="80" t="s">
        <v>258</v>
      </c>
      <c r="G12" s="39">
        <f>'5225100'!K18</f>
        <v>3129.6</v>
      </c>
      <c r="H12" s="141">
        <f>'5225100'!M18</f>
        <v>0</v>
      </c>
      <c r="I12" s="39">
        <f t="shared" si="0"/>
        <v>0</v>
      </c>
    </row>
    <row r="13" spans="1:9" ht="12.75">
      <c r="A13" s="41" t="s">
        <v>240</v>
      </c>
      <c r="B13" s="80" t="s">
        <v>221</v>
      </c>
      <c r="C13" s="80" t="s">
        <v>231</v>
      </c>
      <c r="D13" s="80" t="s">
        <v>263</v>
      </c>
      <c r="E13" s="80" t="s">
        <v>250</v>
      </c>
      <c r="F13" s="82" t="s">
        <v>241</v>
      </c>
      <c r="G13" s="39">
        <f>SUM(G14+G15+G16)</f>
        <v>96292.7</v>
      </c>
      <c r="H13" s="141">
        <f>SUM(H14+H15+H16)</f>
        <v>64653.9</v>
      </c>
      <c r="I13" s="39">
        <f t="shared" si="0"/>
        <v>67.14309599793131</v>
      </c>
    </row>
    <row r="14" spans="1:9" ht="12.75">
      <c r="A14" s="85" t="s">
        <v>193</v>
      </c>
      <c r="B14" s="80" t="s">
        <v>221</v>
      </c>
      <c r="C14" s="80" t="s">
        <v>231</v>
      </c>
      <c r="D14" s="80" t="s">
        <v>263</v>
      </c>
      <c r="E14" s="80" t="s">
        <v>250</v>
      </c>
      <c r="F14" s="82" t="s">
        <v>241</v>
      </c>
      <c r="G14" s="39">
        <f>'5225100'!K20</f>
        <v>14592.7</v>
      </c>
      <c r="H14" s="141">
        <f>'5225100'!M20</f>
        <v>7208.4</v>
      </c>
      <c r="I14" s="39">
        <f t="shared" si="0"/>
        <v>49.397301390421234</v>
      </c>
    </row>
    <row r="15" spans="1:9" ht="12.75">
      <c r="A15" s="85" t="s">
        <v>194</v>
      </c>
      <c r="B15" s="80" t="s">
        <v>221</v>
      </c>
      <c r="C15" s="80" t="s">
        <v>231</v>
      </c>
      <c r="D15" s="80" t="s">
        <v>263</v>
      </c>
      <c r="E15" s="80" t="s">
        <v>250</v>
      </c>
      <c r="F15" s="82" t="s">
        <v>241</v>
      </c>
      <c r="G15" s="39">
        <f>'5225100'!K26</f>
        <v>6400</v>
      </c>
      <c r="H15" s="141">
        <f>'5225100'!M26</f>
        <v>5999.5</v>
      </c>
      <c r="I15" s="39">
        <f t="shared" si="0"/>
        <v>93.7421875</v>
      </c>
    </row>
    <row r="16" spans="1:9" ht="25.5">
      <c r="A16" s="85" t="s">
        <v>200</v>
      </c>
      <c r="B16" s="80" t="s">
        <v>221</v>
      </c>
      <c r="C16" s="80" t="s">
        <v>231</v>
      </c>
      <c r="D16" s="80" t="s">
        <v>263</v>
      </c>
      <c r="E16" s="80" t="s">
        <v>250</v>
      </c>
      <c r="F16" s="82" t="s">
        <v>241</v>
      </c>
      <c r="G16" s="39">
        <f>'5225100'!K28</f>
        <v>75300</v>
      </c>
      <c r="H16" s="141">
        <f>'5225100'!M28</f>
        <v>51446</v>
      </c>
      <c r="I16" s="39">
        <f t="shared" si="0"/>
        <v>68.32138114209828</v>
      </c>
    </row>
    <row r="17" spans="1:9" ht="40.5">
      <c r="A17" s="79" t="s">
        <v>125</v>
      </c>
      <c r="B17" s="80" t="s">
        <v>223</v>
      </c>
      <c r="C17" s="82"/>
      <c r="D17" s="80"/>
      <c r="E17" s="82"/>
      <c r="F17" s="82"/>
      <c r="G17" s="40">
        <f aca="true" t="shared" si="2" ref="G17:H19">SUM(G18)</f>
        <v>119642.8</v>
      </c>
      <c r="H17" s="140">
        <f t="shared" si="2"/>
        <v>71236.1</v>
      </c>
      <c r="I17" s="40">
        <f t="shared" si="0"/>
        <v>59.54064933284745</v>
      </c>
    </row>
    <row r="18" spans="1:9" ht="31.5" customHeight="1">
      <c r="A18" s="79" t="s">
        <v>230</v>
      </c>
      <c r="B18" s="80" t="s">
        <v>223</v>
      </c>
      <c r="C18" s="82" t="s">
        <v>231</v>
      </c>
      <c r="D18" s="80"/>
      <c r="E18" s="82"/>
      <c r="F18" s="82"/>
      <c r="G18" s="40">
        <f t="shared" si="2"/>
        <v>119642.8</v>
      </c>
      <c r="H18" s="140">
        <f t="shared" si="2"/>
        <v>71236.1</v>
      </c>
      <c r="I18" s="40">
        <f t="shared" si="0"/>
        <v>59.54064933284745</v>
      </c>
    </row>
    <row r="19" spans="1:9" ht="12.75">
      <c r="A19" s="83" t="s">
        <v>264</v>
      </c>
      <c r="B19" s="80" t="s">
        <v>223</v>
      </c>
      <c r="C19" s="80" t="s">
        <v>231</v>
      </c>
      <c r="D19" s="80" t="s">
        <v>263</v>
      </c>
      <c r="E19" s="80"/>
      <c r="F19" s="80"/>
      <c r="G19" s="39">
        <f t="shared" si="2"/>
        <v>119642.8</v>
      </c>
      <c r="H19" s="141">
        <f t="shared" si="2"/>
        <v>71236.1</v>
      </c>
      <c r="I19" s="39">
        <f t="shared" si="0"/>
        <v>59.54064933284745</v>
      </c>
    </row>
    <row r="20" spans="1:9" ht="12.75">
      <c r="A20" s="83" t="s">
        <v>284</v>
      </c>
      <c r="B20" s="80" t="s">
        <v>223</v>
      </c>
      <c r="C20" s="80" t="s">
        <v>231</v>
      </c>
      <c r="D20" s="80" t="s">
        <v>263</v>
      </c>
      <c r="E20" s="80" t="s">
        <v>250</v>
      </c>
      <c r="F20" s="80"/>
      <c r="G20" s="39">
        <f>SUM(G21+G24)</f>
        <v>119642.8</v>
      </c>
      <c r="H20" s="39">
        <f>SUM(H21+H24)</f>
        <v>71236.1</v>
      </c>
      <c r="I20" s="39">
        <f t="shared" si="0"/>
        <v>59.54064933284745</v>
      </c>
    </row>
    <row r="21" spans="1:9" ht="12.75">
      <c r="A21" s="83" t="s">
        <v>257</v>
      </c>
      <c r="B21" s="80" t="s">
        <v>223</v>
      </c>
      <c r="C21" s="80" t="s">
        <v>231</v>
      </c>
      <c r="D21" s="80" t="s">
        <v>263</v>
      </c>
      <c r="E21" s="80" t="s">
        <v>250</v>
      </c>
      <c r="F21" s="80" t="s">
        <v>258</v>
      </c>
      <c r="G21" s="39">
        <f>SUM(G22:G23)</f>
        <v>116687.2</v>
      </c>
      <c r="H21" s="141">
        <f>SUM(H22:H23)</f>
        <v>69154.3</v>
      </c>
      <c r="I21" s="39">
        <f t="shared" si="0"/>
        <v>59.26468370138285</v>
      </c>
    </row>
    <row r="22" spans="1:9" ht="25.5" outlineLevel="1">
      <c r="A22" s="41" t="s">
        <v>230</v>
      </c>
      <c r="B22" s="80" t="s">
        <v>223</v>
      </c>
      <c r="C22" s="80" t="s">
        <v>231</v>
      </c>
      <c r="D22" s="80" t="s">
        <v>263</v>
      </c>
      <c r="E22" s="80" t="s">
        <v>250</v>
      </c>
      <c r="F22" s="80" t="s">
        <v>258</v>
      </c>
      <c r="G22" s="39">
        <f>'5225100'!K42</f>
        <v>0</v>
      </c>
      <c r="H22" s="141">
        <f>'5225100'!M42</f>
        <v>0</v>
      </c>
      <c r="I22" s="39"/>
    </row>
    <row r="23" spans="1:9" ht="25.5">
      <c r="A23" s="41" t="s">
        <v>192</v>
      </c>
      <c r="B23" s="80" t="s">
        <v>223</v>
      </c>
      <c r="C23" s="80" t="s">
        <v>231</v>
      </c>
      <c r="D23" s="80" t="s">
        <v>263</v>
      </c>
      <c r="E23" s="80" t="s">
        <v>250</v>
      </c>
      <c r="F23" s="80" t="s">
        <v>258</v>
      </c>
      <c r="G23" s="39">
        <f>'5225100'!K45</f>
        <v>116687.2</v>
      </c>
      <c r="H23" s="141">
        <f>'5225100'!M45</f>
        <v>69154.3</v>
      </c>
      <c r="I23" s="39">
        <f t="shared" si="0"/>
        <v>59.26468370138285</v>
      </c>
    </row>
    <row r="24" spans="1:9" ht="12.75">
      <c r="A24" s="41" t="s">
        <v>240</v>
      </c>
      <c r="B24" s="80" t="s">
        <v>223</v>
      </c>
      <c r="C24" s="80" t="s">
        <v>231</v>
      </c>
      <c r="D24" s="80" t="s">
        <v>263</v>
      </c>
      <c r="E24" s="80" t="s">
        <v>250</v>
      </c>
      <c r="F24" s="82" t="s">
        <v>241</v>
      </c>
      <c r="G24" s="39">
        <f>SUM(G25:G26)</f>
        <v>2955.6</v>
      </c>
      <c r="H24" s="141">
        <f>SUM(H25:H26)</f>
        <v>2081.8</v>
      </c>
      <c r="I24" s="39">
        <f t="shared" si="0"/>
        <v>70.4357829205576</v>
      </c>
    </row>
    <row r="25" spans="1:9" ht="12.75">
      <c r="A25" s="85" t="s">
        <v>193</v>
      </c>
      <c r="B25" s="80" t="s">
        <v>223</v>
      </c>
      <c r="C25" s="80" t="s">
        <v>231</v>
      </c>
      <c r="D25" s="80" t="s">
        <v>263</v>
      </c>
      <c r="E25" s="80" t="s">
        <v>250</v>
      </c>
      <c r="F25" s="82" t="s">
        <v>241</v>
      </c>
      <c r="G25" s="39">
        <f>'5225100'!K58</f>
        <v>2472</v>
      </c>
      <c r="H25" s="141">
        <f>'5225100'!M58</f>
        <v>1598.2</v>
      </c>
      <c r="I25" s="39">
        <f t="shared" si="0"/>
        <v>64.65210355987055</v>
      </c>
    </row>
    <row r="26" spans="1:9" ht="12.75">
      <c r="A26" s="85" t="s">
        <v>194</v>
      </c>
      <c r="B26" s="80" t="s">
        <v>223</v>
      </c>
      <c r="C26" s="80" t="s">
        <v>231</v>
      </c>
      <c r="D26" s="80" t="s">
        <v>263</v>
      </c>
      <c r="E26" s="80" t="s">
        <v>250</v>
      </c>
      <c r="F26" s="82" t="s">
        <v>241</v>
      </c>
      <c r="G26" s="39">
        <f>'5225100'!K61</f>
        <v>483.6</v>
      </c>
      <c r="H26" s="141">
        <f>'5225100'!M61</f>
        <v>483.6</v>
      </c>
      <c r="I26" s="39">
        <f t="shared" si="0"/>
        <v>100</v>
      </c>
    </row>
    <row r="27" spans="1:9" ht="40.5">
      <c r="A27" s="79" t="s">
        <v>126</v>
      </c>
      <c r="B27" s="80" t="s">
        <v>225</v>
      </c>
      <c r="C27" s="81"/>
      <c r="D27" s="39"/>
      <c r="E27" s="81"/>
      <c r="F27" s="81"/>
      <c r="G27" s="40">
        <f aca="true" t="shared" si="3" ref="G27:H30">SUM(G28)</f>
        <v>4440</v>
      </c>
      <c r="H27" s="140">
        <f t="shared" si="3"/>
        <v>1831.6</v>
      </c>
      <c r="I27" s="40">
        <f t="shared" si="0"/>
        <v>41.252252252252255</v>
      </c>
    </row>
    <row r="28" spans="1:9" ht="30" customHeight="1">
      <c r="A28" s="79" t="s">
        <v>230</v>
      </c>
      <c r="B28" s="80" t="s">
        <v>225</v>
      </c>
      <c r="C28" s="82" t="s">
        <v>231</v>
      </c>
      <c r="D28" s="39"/>
      <c r="E28" s="81"/>
      <c r="F28" s="81"/>
      <c r="G28" s="40">
        <f t="shared" si="3"/>
        <v>4440</v>
      </c>
      <c r="H28" s="140">
        <f t="shared" si="3"/>
        <v>1831.6</v>
      </c>
      <c r="I28" s="40">
        <f t="shared" si="0"/>
        <v>41.252252252252255</v>
      </c>
    </row>
    <row r="29" spans="1:9" ht="12.75">
      <c r="A29" s="83" t="s">
        <v>264</v>
      </c>
      <c r="B29" s="80" t="s">
        <v>225</v>
      </c>
      <c r="C29" s="82" t="s">
        <v>231</v>
      </c>
      <c r="D29" s="80" t="s">
        <v>263</v>
      </c>
      <c r="E29" s="81"/>
      <c r="F29" s="81"/>
      <c r="G29" s="39">
        <f t="shared" si="3"/>
        <v>4440</v>
      </c>
      <c r="H29" s="141">
        <f t="shared" si="3"/>
        <v>1831.6</v>
      </c>
      <c r="I29" s="39">
        <f t="shared" si="0"/>
        <v>41.252252252252255</v>
      </c>
    </row>
    <row r="30" spans="1:9" ht="24.75" customHeight="1">
      <c r="A30" s="83" t="s">
        <v>285</v>
      </c>
      <c r="B30" s="80" t="s">
        <v>225</v>
      </c>
      <c r="C30" s="82" t="s">
        <v>231</v>
      </c>
      <c r="D30" s="80" t="s">
        <v>263</v>
      </c>
      <c r="E30" s="80" t="s">
        <v>263</v>
      </c>
      <c r="F30" s="81"/>
      <c r="G30" s="39">
        <f t="shared" si="3"/>
        <v>4440</v>
      </c>
      <c r="H30" s="141">
        <f t="shared" si="3"/>
        <v>1831.6</v>
      </c>
      <c r="I30" s="39">
        <f t="shared" si="0"/>
        <v>41.252252252252255</v>
      </c>
    </row>
    <row r="31" spans="1:9" ht="12.75">
      <c r="A31" s="85" t="s">
        <v>240</v>
      </c>
      <c r="B31" s="80" t="s">
        <v>225</v>
      </c>
      <c r="C31" s="82" t="s">
        <v>231</v>
      </c>
      <c r="D31" s="80" t="s">
        <v>263</v>
      </c>
      <c r="E31" s="80" t="s">
        <v>263</v>
      </c>
      <c r="F31" s="82" t="s">
        <v>241</v>
      </c>
      <c r="G31" s="39">
        <f>SUM(G32+G33)</f>
        <v>4440</v>
      </c>
      <c r="H31" s="141">
        <f>SUM(H32+H33)</f>
        <v>1831.6</v>
      </c>
      <c r="I31" s="39">
        <f t="shared" si="0"/>
        <v>41.252252252252255</v>
      </c>
    </row>
    <row r="32" spans="1:9" ht="12.75">
      <c r="A32" s="85" t="s">
        <v>193</v>
      </c>
      <c r="B32" s="80" t="s">
        <v>225</v>
      </c>
      <c r="C32" s="82" t="s">
        <v>231</v>
      </c>
      <c r="D32" s="80" t="s">
        <v>263</v>
      </c>
      <c r="E32" s="80" t="s">
        <v>263</v>
      </c>
      <c r="F32" s="82" t="s">
        <v>241</v>
      </c>
      <c r="G32" s="39">
        <f>'5225100'!K69</f>
        <v>2000</v>
      </c>
      <c r="H32" s="141">
        <f>'5225100'!M69</f>
        <v>0</v>
      </c>
      <c r="I32" s="39">
        <f t="shared" si="0"/>
        <v>0</v>
      </c>
    </row>
    <row r="33" spans="1:9" ht="12.75">
      <c r="A33" s="85" t="s">
        <v>194</v>
      </c>
      <c r="B33" s="80" t="s">
        <v>225</v>
      </c>
      <c r="C33" s="82" t="s">
        <v>231</v>
      </c>
      <c r="D33" s="80" t="s">
        <v>263</v>
      </c>
      <c r="E33" s="80" t="s">
        <v>263</v>
      </c>
      <c r="F33" s="82" t="s">
        <v>241</v>
      </c>
      <c r="G33" s="39">
        <f>'5225100'!K85</f>
        <v>2440</v>
      </c>
      <c r="H33" s="141">
        <f>'5225100'!M85</f>
        <v>1831.6</v>
      </c>
      <c r="I33" s="39">
        <f t="shared" si="0"/>
        <v>75.0655737704918</v>
      </c>
    </row>
    <row r="34" spans="1:9" ht="40.5">
      <c r="A34" s="79" t="s">
        <v>127</v>
      </c>
      <c r="B34" s="80" t="s">
        <v>227</v>
      </c>
      <c r="C34" s="81"/>
      <c r="D34" s="39"/>
      <c r="E34" s="81"/>
      <c r="F34" s="81"/>
      <c r="G34" s="40">
        <f>SUM(G35)</f>
        <v>254060</v>
      </c>
      <c r="H34" s="140">
        <f>SUM(H35)</f>
        <v>235569.9</v>
      </c>
      <c r="I34" s="40">
        <f t="shared" si="0"/>
        <v>92.72215224750059</v>
      </c>
    </row>
    <row r="35" spans="1:9" ht="29.25" customHeight="1">
      <c r="A35" s="79" t="s">
        <v>230</v>
      </c>
      <c r="B35" s="80" t="s">
        <v>227</v>
      </c>
      <c r="C35" s="82" t="s">
        <v>231</v>
      </c>
      <c r="D35" s="39"/>
      <c r="E35" s="81"/>
      <c r="F35" s="81"/>
      <c r="G35" s="40">
        <f>SUM(G36+G39)</f>
        <v>254060</v>
      </c>
      <c r="H35" s="140">
        <f>SUM(H36+H39)</f>
        <v>235569.9</v>
      </c>
      <c r="I35" s="40">
        <f t="shared" si="0"/>
        <v>92.72215224750059</v>
      </c>
    </row>
    <row r="36" spans="1:9" ht="12.75">
      <c r="A36" s="41" t="s">
        <v>234</v>
      </c>
      <c r="B36" s="80" t="s">
        <v>227</v>
      </c>
      <c r="C36" s="82" t="s">
        <v>231</v>
      </c>
      <c r="D36" s="82">
        <v>10</v>
      </c>
      <c r="E36" s="81"/>
      <c r="F36" s="81"/>
      <c r="G36" s="39">
        <f>SUM(G37)</f>
        <v>254060</v>
      </c>
      <c r="H36" s="141">
        <f>SUM(H37)</f>
        <v>235569.9</v>
      </c>
      <c r="I36" s="39">
        <f t="shared" si="0"/>
        <v>92.72215224750059</v>
      </c>
    </row>
    <row r="37" spans="1:9" ht="12.75">
      <c r="A37" s="41" t="s">
        <v>286</v>
      </c>
      <c r="B37" s="80" t="s">
        <v>227</v>
      </c>
      <c r="C37" s="82" t="s">
        <v>231</v>
      </c>
      <c r="D37" s="82">
        <v>10</v>
      </c>
      <c r="E37" s="82" t="s">
        <v>237</v>
      </c>
      <c r="F37" s="81"/>
      <c r="G37" s="39">
        <f>SUM(G38)</f>
        <v>254060</v>
      </c>
      <c r="H37" s="141">
        <f>SUM(H38)</f>
        <v>235569.9</v>
      </c>
      <c r="I37" s="39">
        <f t="shared" si="0"/>
        <v>92.72215224750059</v>
      </c>
    </row>
    <row r="38" spans="1:9" ht="12.75">
      <c r="A38" s="41" t="s">
        <v>238</v>
      </c>
      <c r="B38" s="80" t="s">
        <v>227</v>
      </c>
      <c r="C38" s="82" t="s">
        <v>231</v>
      </c>
      <c r="D38" s="86">
        <v>10</v>
      </c>
      <c r="E38" s="82" t="s">
        <v>237</v>
      </c>
      <c r="F38" s="82" t="s">
        <v>239</v>
      </c>
      <c r="G38" s="39">
        <f>'5225100'!K110</f>
        <v>254060</v>
      </c>
      <c r="H38" s="141">
        <f>'5225100'!M110</f>
        <v>235569.9</v>
      </c>
      <c r="I38" s="39">
        <f t="shared" si="0"/>
        <v>92.72215224750059</v>
      </c>
    </row>
    <row r="39" spans="1:9" ht="12.75">
      <c r="A39" s="39" t="s">
        <v>288</v>
      </c>
      <c r="B39" s="80" t="s">
        <v>227</v>
      </c>
      <c r="C39" s="82" t="s">
        <v>231</v>
      </c>
      <c r="D39" s="82" t="s">
        <v>250</v>
      </c>
      <c r="E39" s="82" t="s">
        <v>297</v>
      </c>
      <c r="F39" s="82"/>
      <c r="G39" s="39">
        <f>G40</f>
        <v>0</v>
      </c>
      <c r="H39" s="141">
        <f>H40</f>
        <v>0</v>
      </c>
      <c r="I39" s="39"/>
    </row>
    <row r="40" spans="1:9" ht="12.75">
      <c r="A40" s="41" t="s">
        <v>289</v>
      </c>
      <c r="B40" s="80" t="s">
        <v>227</v>
      </c>
      <c r="C40" s="82" t="s">
        <v>231</v>
      </c>
      <c r="D40" s="82" t="s">
        <v>250</v>
      </c>
      <c r="E40" s="82" t="s">
        <v>297</v>
      </c>
      <c r="F40" s="82"/>
      <c r="G40" s="39">
        <f>G41</f>
        <v>0</v>
      </c>
      <c r="H40" s="141">
        <f>H41</f>
        <v>0</v>
      </c>
      <c r="I40" s="39"/>
    </row>
    <row r="41" spans="1:9" ht="12.75">
      <c r="A41" s="41" t="s">
        <v>248</v>
      </c>
      <c r="B41" s="80" t="s">
        <v>227</v>
      </c>
      <c r="C41" s="82" t="s">
        <v>231</v>
      </c>
      <c r="D41" s="82" t="s">
        <v>250</v>
      </c>
      <c r="E41" s="82" t="s">
        <v>297</v>
      </c>
      <c r="F41" s="82" t="s">
        <v>249</v>
      </c>
      <c r="G41" s="39">
        <f>'5225100'!K106</f>
        <v>0</v>
      </c>
      <c r="H41" s="141">
        <f>'5225100'!M107</f>
        <v>0</v>
      </c>
      <c r="I41" s="39"/>
    </row>
    <row r="42" spans="1:9" ht="40.5">
      <c r="A42" s="79" t="s">
        <v>128</v>
      </c>
      <c r="B42" s="80" t="s">
        <v>229</v>
      </c>
      <c r="C42" s="81"/>
      <c r="D42" s="39"/>
      <c r="E42" s="81"/>
      <c r="F42" s="81"/>
      <c r="G42" s="40">
        <f>SUM(G43)</f>
        <v>40000</v>
      </c>
      <c r="H42" s="140">
        <f>SUM(H43)</f>
        <v>35437.8</v>
      </c>
      <c r="I42" s="40">
        <f t="shared" si="0"/>
        <v>88.59450000000001</v>
      </c>
    </row>
    <row r="43" spans="1:9" ht="30" customHeight="1">
      <c r="A43" s="79" t="s">
        <v>230</v>
      </c>
      <c r="B43" s="80" t="s">
        <v>229</v>
      </c>
      <c r="C43" s="82" t="s">
        <v>231</v>
      </c>
      <c r="D43" s="39"/>
      <c r="E43" s="81"/>
      <c r="F43" s="81"/>
      <c r="G43" s="40">
        <f aca="true" t="shared" si="4" ref="G43:H45">G44</f>
        <v>40000</v>
      </c>
      <c r="H43" s="140">
        <f t="shared" si="4"/>
        <v>35437.8</v>
      </c>
      <c r="I43" s="40">
        <f t="shared" si="0"/>
        <v>88.59450000000001</v>
      </c>
    </row>
    <row r="44" spans="1:9" ht="12.75">
      <c r="A44" s="39" t="s">
        <v>234</v>
      </c>
      <c r="B44" s="80" t="s">
        <v>229</v>
      </c>
      <c r="C44" s="80" t="s">
        <v>231</v>
      </c>
      <c r="D44" s="80" t="s">
        <v>235</v>
      </c>
      <c r="E44" s="82"/>
      <c r="F44" s="82"/>
      <c r="G44" s="39">
        <f t="shared" si="4"/>
        <v>40000</v>
      </c>
      <c r="H44" s="141">
        <f t="shared" si="4"/>
        <v>35437.8</v>
      </c>
      <c r="I44" s="39">
        <f t="shared" si="0"/>
        <v>88.59450000000001</v>
      </c>
    </row>
    <row r="45" spans="1:9" ht="12.75">
      <c r="A45" s="39" t="s">
        <v>236</v>
      </c>
      <c r="B45" s="80" t="s">
        <v>229</v>
      </c>
      <c r="C45" s="80" t="s">
        <v>231</v>
      </c>
      <c r="D45" s="80" t="s">
        <v>235</v>
      </c>
      <c r="E45" s="82" t="s">
        <v>237</v>
      </c>
      <c r="F45" s="82"/>
      <c r="G45" s="39">
        <f t="shared" si="4"/>
        <v>40000</v>
      </c>
      <c r="H45" s="141">
        <f t="shared" si="4"/>
        <v>35437.8</v>
      </c>
      <c r="I45" s="39">
        <f t="shared" si="0"/>
        <v>88.59450000000001</v>
      </c>
    </row>
    <row r="46" spans="1:9" ht="12.75">
      <c r="A46" s="39" t="s">
        <v>238</v>
      </c>
      <c r="B46" s="80" t="s">
        <v>229</v>
      </c>
      <c r="C46" s="80" t="s">
        <v>231</v>
      </c>
      <c r="D46" s="80" t="s">
        <v>235</v>
      </c>
      <c r="E46" s="82" t="s">
        <v>237</v>
      </c>
      <c r="F46" s="82" t="s">
        <v>239</v>
      </c>
      <c r="G46" s="39">
        <f>'5225100'!K116</f>
        <v>40000</v>
      </c>
      <c r="H46" s="141">
        <f>'5225100'!M116</f>
        <v>35437.8</v>
      </c>
      <c r="I46" s="39">
        <f t="shared" si="0"/>
        <v>88.59450000000001</v>
      </c>
    </row>
    <row r="47" spans="1:9" ht="27">
      <c r="A47" s="79" t="s">
        <v>322</v>
      </c>
      <c r="B47" s="80" t="s">
        <v>320</v>
      </c>
      <c r="C47" s="81"/>
      <c r="D47" s="39"/>
      <c r="E47" s="81"/>
      <c r="F47" s="81"/>
      <c r="G47" s="40">
        <f aca="true" t="shared" si="5" ref="G47:H50">G48</f>
        <v>20000</v>
      </c>
      <c r="H47" s="140">
        <f t="shared" si="5"/>
        <v>15153.3</v>
      </c>
      <c r="I47" s="40">
        <f t="shared" si="0"/>
        <v>75.7665</v>
      </c>
    </row>
    <row r="48" spans="1:9" ht="24.75" customHeight="1">
      <c r="A48" s="79" t="s">
        <v>230</v>
      </c>
      <c r="B48" s="80" t="s">
        <v>320</v>
      </c>
      <c r="C48" s="82" t="s">
        <v>231</v>
      </c>
      <c r="D48" s="39"/>
      <c r="E48" s="81"/>
      <c r="F48" s="81"/>
      <c r="G48" s="39">
        <f t="shared" si="5"/>
        <v>20000</v>
      </c>
      <c r="H48" s="141">
        <f t="shared" si="5"/>
        <v>15153.3</v>
      </c>
      <c r="I48" s="39">
        <f t="shared" si="0"/>
        <v>75.7665</v>
      </c>
    </row>
    <row r="49" spans="1:9" ht="12.75">
      <c r="A49" s="39" t="s">
        <v>234</v>
      </c>
      <c r="B49" s="80" t="s">
        <v>320</v>
      </c>
      <c r="C49" s="80" t="s">
        <v>231</v>
      </c>
      <c r="D49" s="80" t="s">
        <v>235</v>
      </c>
      <c r="E49" s="82"/>
      <c r="F49" s="82"/>
      <c r="G49" s="39">
        <f t="shared" si="5"/>
        <v>20000</v>
      </c>
      <c r="H49" s="141">
        <f t="shared" si="5"/>
        <v>15153.3</v>
      </c>
      <c r="I49" s="39">
        <f t="shared" si="0"/>
        <v>75.7665</v>
      </c>
    </row>
    <row r="50" spans="1:9" ht="12.75">
      <c r="A50" s="39" t="s">
        <v>236</v>
      </c>
      <c r="B50" s="80" t="s">
        <v>320</v>
      </c>
      <c r="C50" s="80" t="s">
        <v>231</v>
      </c>
      <c r="D50" s="80" t="s">
        <v>235</v>
      </c>
      <c r="E50" s="82" t="s">
        <v>237</v>
      </c>
      <c r="F50" s="82"/>
      <c r="G50" s="39">
        <f t="shared" si="5"/>
        <v>20000</v>
      </c>
      <c r="H50" s="141">
        <f t="shared" si="5"/>
        <v>15153.3</v>
      </c>
      <c r="I50" s="39">
        <f t="shared" si="0"/>
        <v>75.7665</v>
      </c>
    </row>
    <row r="51" spans="1:9" ht="12.75">
      <c r="A51" s="39" t="s">
        <v>238</v>
      </c>
      <c r="B51" s="80" t="s">
        <v>320</v>
      </c>
      <c r="C51" s="80" t="s">
        <v>231</v>
      </c>
      <c r="D51" s="80" t="s">
        <v>235</v>
      </c>
      <c r="E51" s="82" t="s">
        <v>237</v>
      </c>
      <c r="F51" s="82" t="s">
        <v>239</v>
      </c>
      <c r="G51" s="39">
        <f>'5225100'!K123</f>
        <v>20000</v>
      </c>
      <c r="H51" s="141">
        <f>'5225100'!M123</f>
        <v>15153.3</v>
      </c>
      <c r="I51" s="39">
        <f t="shared" si="0"/>
        <v>75.7665</v>
      </c>
    </row>
    <row r="52" spans="1:9" s="7" customFormat="1" ht="39.75" customHeight="1">
      <c r="A52" s="42" t="s">
        <v>6</v>
      </c>
      <c r="B52" s="77" t="s">
        <v>233</v>
      </c>
      <c r="C52" s="87"/>
      <c r="D52" s="40"/>
      <c r="E52" s="87"/>
      <c r="F52" s="87"/>
      <c r="G52" s="40">
        <f>SUM(G53+G75)</f>
        <v>153498.2</v>
      </c>
      <c r="H52" s="40">
        <f>SUM(H53+H75)</f>
        <v>94250.4</v>
      </c>
      <c r="I52" s="40">
        <f t="shared" si="0"/>
        <v>61.40163207125555</v>
      </c>
    </row>
    <row r="53" spans="1:9" ht="31.5" customHeight="1">
      <c r="A53" s="79" t="s">
        <v>230</v>
      </c>
      <c r="B53" s="80" t="s">
        <v>233</v>
      </c>
      <c r="C53" s="80" t="s">
        <v>231</v>
      </c>
      <c r="D53" s="80"/>
      <c r="E53" s="82"/>
      <c r="F53" s="82"/>
      <c r="G53" s="40">
        <f>G54+G61+G68+G71</f>
        <v>150998.2</v>
      </c>
      <c r="H53" s="140">
        <f>H54+H61+H68+H71</f>
        <v>94250.4</v>
      </c>
      <c r="I53" s="40">
        <f t="shared" si="0"/>
        <v>62.41822750204968</v>
      </c>
    </row>
    <row r="54" spans="1:9" ht="12.75">
      <c r="A54" s="39" t="s">
        <v>279</v>
      </c>
      <c r="B54" s="80" t="s">
        <v>233</v>
      </c>
      <c r="C54" s="80" t="s">
        <v>231</v>
      </c>
      <c r="D54" s="82" t="s">
        <v>271</v>
      </c>
      <c r="E54" s="82"/>
      <c r="F54" s="82"/>
      <c r="G54" s="39">
        <f aca="true" t="shared" si="6" ref="G54:H56">G55</f>
        <v>81228.5</v>
      </c>
      <c r="H54" s="141">
        <f t="shared" si="6"/>
        <v>54879.3</v>
      </c>
      <c r="I54" s="39">
        <f t="shared" si="0"/>
        <v>67.56163169330962</v>
      </c>
    </row>
    <row r="55" spans="1:9" ht="12.75">
      <c r="A55" s="41" t="s">
        <v>325</v>
      </c>
      <c r="B55" s="80" t="s">
        <v>233</v>
      </c>
      <c r="C55" s="80" t="s">
        <v>231</v>
      </c>
      <c r="D55" s="82" t="s">
        <v>271</v>
      </c>
      <c r="E55" s="82" t="s">
        <v>253</v>
      </c>
      <c r="F55" s="82"/>
      <c r="G55" s="39">
        <f>G56+G58+G60</f>
        <v>81228.5</v>
      </c>
      <c r="H55" s="39">
        <f>H56+H58+H60</f>
        <v>54879.3</v>
      </c>
      <c r="I55" s="39">
        <f t="shared" si="0"/>
        <v>67.56163169330962</v>
      </c>
    </row>
    <row r="56" spans="1:9" ht="12.75">
      <c r="A56" s="41" t="s">
        <v>257</v>
      </c>
      <c r="B56" s="80" t="s">
        <v>233</v>
      </c>
      <c r="C56" s="80" t="s">
        <v>231</v>
      </c>
      <c r="D56" s="82" t="s">
        <v>271</v>
      </c>
      <c r="E56" s="82" t="s">
        <v>253</v>
      </c>
      <c r="F56" s="82" t="s">
        <v>258</v>
      </c>
      <c r="G56" s="39">
        <f t="shared" si="6"/>
        <v>1138.5</v>
      </c>
      <c r="H56" s="141">
        <f t="shared" si="6"/>
        <v>0</v>
      </c>
      <c r="I56" s="39">
        <f t="shared" si="0"/>
        <v>0</v>
      </c>
    </row>
    <row r="57" spans="1:9" ht="25.5">
      <c r="A57" s="41" t="s">
        <v>192</v>
      </c>
      <c r="B57" s="80" t="s">
        <v>233</v>
      </c>
      <c r="C57" s="80" t="s">
        <v>231</v>
      </c>
      <c r="D57" s="82" t="s">
        <v>271</v>
      </c>
      <c r="E57" s="82" t="s">
        <v>253</v>
      </c>
      <c r="F57" s="82" t="s">
        <v>258</v>
      </c>
      <c r="G57" s="39">
        <f>'5225200'!K14</f>
        <v>1138.5</v>
      </c>
      <c r="H57" s="141">
        <f>'5225200'!N14</f>
        <v>0</v>
      </c>
      <c r="I57" s="39">
        <f t="shared" si="0"/>
        <v>0</v>
      </c>
    </row>
    <row r="58" spans="1:9" ht="12.75">
      <c r="A58" s="41" t="s">
        <v>240</v>
      </c>
      <c r="B58" s="80" t="s">
        <v>233</v>
      </c>
      <c r="C58" s="80" t="s">
        <v>231</v>
      </c>
      <c r="D58" s="82" t="s">
        <v>271</v>
      </c>
      <c r="E58" s="82" t="s">
        <v>253</v>
      </c>
      <c r="F58" s="82" t="s">
        <v>241</v>
      </c>
      <c r="G58" s="39">
        <f>G59</f>
        <v>90</v>
      </c>
      <c r="H58" s="141">
        <f>H59</f>
        <v>0</v>
      </c>
      <c r="I58" s="39"/>
    </row>
    <row r="59" spans="1:9" ht="12.75">
      <c r="A59" s="41" t="s">
        <v>331</v>
      </c>
      <c r="B59" s="80" t="s">
        <v>233</v>
      </c>
      <c r="C59" s="80" t="s">
        <v>231</v>
      </c>
      <c r="D59" s="82" t="s">
        <v>271</v>
      </c>
      <c r="E59" s="82" t="s">
        <v>253</v>
      </c>
      <c r="F59" s="82" t="s">
        <v>241</v>
      </c>
      <c r="G59" s="39">
        <f>'5225200'!K18</f>
        <v>90</v>
      </c>
      <c r="H59" s="141">
        <f>'5225200'!N18</f>
        <v>0</v>
      </c>
      <c r="I59" s="39"/>
    </row>
    <row r="60" spans="1:9" ht="25.5">
      <c r="A60" s="387" t="s">
        <v>54</v>
      </c>
      <c r="B60" s="39" t="s">
        <v>233</v>
      </c>
      <c r="C60" s="80" t="s">
        <v>231</v>
      </c>
      <c r="D60" s="82" t="s">
        <v>271</v>
      </c>
      <c r="E60" s="82" t="s">
        <v>253</v>
      </c>
      <c r="F60" s="82" t="s">
        <v>478</v>
      </c>
      <c r="G60" s="39">
        <f>'5225200'!K22</f>
        <v>80000</v>
      </c>
      <c r="H60" s="141">
        <f>'5225200'!N22</f>
        <v>54879.3</v>
      </c>
      <c r="I60" s="39">
        <f t="shared" si="0"/>
        <v>68.599125</v>
      </c>
    </row>
    <row r="61" spans="1:9" ht="12.75">
      <c r="A61" s="41" t="s">
        <v>255</v>
      </c>
      <c r="B61" s="80" t="s">
        <v>233</v>
      </c>
      <c r="C61" s="80" t="s">
        <v>231</v>
      </c>
      <c r="D61" s="82" t="s">
        <v>253</v>
      </c>
      <c r="E61" s="82"/>
      <c r="F61" s="82"/>
      <c r="G61" s="39">
        <f>G62+G66</f>
        <v>42059.4</v>
      </c>
      <c r="H61" s="141">
        <f>H62+H66</f>
        <v>39371.1</v>
      </c>
      <c r="I61" s="39">
        <f t="shared" si="0"/>
        <v>93.60832536840753</v>
      </c>
    </row>
    <row r="62" spans="1:9" ht="12.75">
      <c r="A62" s="41" t="s">
        <v>254</v>
      </c>
      <c r="B62" s="80" t="s">
        <v>233</v>
      </c>
      <c r="C62" s="80" t="s">
        <v>231</v>
      </c>
      <c r="D62" s="82" t="s">
        <v>253</v>
      </c>
      <c r="E62" s="82" t="s">
        <v>250</v>
      </c>
      <c r="F62" s="82"/>
      <c r="G62" s="39">
        <f>G63</f>
        <v>42059.4</v>
      </c>
      <c r="H62" s="141">
        <f>H63</f>
        <v>39371.1</v>
      </c>
      <c r="I62" s="39">
        <f t="shared" si="0"/>
        <v>93.60832536840753</v>
      </c>
    </row>
    <row r="63" spans="1:9" ht="12.75">
      <c r="A63" s="41" t="s">
        <v>257</v>
      </c>
      <c r="B63" s="80" t="s">
        <v>233</v>
      </c>
      <c r="C63" s="80" t="s">
        <v>231</v>
      </c>
      <c r="D63" s="82" t="s">
        <v>253</v>
      </c>
      <c r="E63" s="82" t="s">
        <v>250</v>
      </c>
      <c r="F63" s="82" t="s">
        <v>258</v>
      </c>
      <c r="G63" s="39">
        <f>G64</f>
        <v>42059.4</v>
      </c>
      <c r="H63" s="141">
        <f>H64</f>
        <v>39371.1</v>
      </c>
      <c r="I63" s="39">
        <f t="shared" si="0"/>
        <v>93.60832536840753</v>
      </c>
    </row>
    <row r="64" spans="1:9" ht="25.5">
      <c r="A64" s="41" t="s">
        <v>192</v>
      </c>
      <c r="B64" s="80" t="s">
        <v>233</v>
      </c>
      <c r="C64" s="80" t="s">
        <v>231</v>
      </c>
      <c r="D64" s="82" t="s">
        <v>253</v>
      </c>
      <c r="E64" s="82" t="s">
        <v>250</v>
      </c>
      <c r="F64" s="82" t="s">
        <v>258</v>
      </c>
      <c r="G64" s="39">
        <f>'5225200'!K26</f>
        <v>42059.4</v>
      </c>
      <c r="H64" s="141">
        <f>'5225200'!N26</f>
        <v>39371.1</v>
      </c>
      <c r="I64" s="39">
        <f t="shared" si="0"/>
        <v>93.60832536840753</v>
      </c>
    </row>
    <row r="65" spans="1:9" ht="13.5" customHeight="1">
      <c r="A65" s="41" t="s">
        <v>283</v>
      </c>
      <c r="B65" s="80" t="s">
        <v>233</v>
      </c>
      <c r="C65" s="80" t="s">
        <v>231</v>
      </c>
      <c r="D65" s="82" t="s">
        <v>253</v>
      </c>
      <c r="E65" s="82" t="s">
        <v>256</v>
      </c>
      <c r="F65" s="82"/>
      <c r="G65" s="39">
        <f>G66</f>
        <v>0</v>
      </c>
      <c r="H65" s="141">
        <f>H66</f>
        <v>0</v>
      </c>
      <c r="I65" s="39"/>
    </row>
    <row r="66" spans="1:9" ht="13.5" customHeight="1">
      <c r="A66" s="41" t="s">
        <v>257</v>
      </c>
      <c r="B66" s="80" t="s">
        <v>233</v>
      </c>
      <c r="C66" s="80" t="s">
        <v>231</v>
      </c>
      <c r="D66" s="82" t="s">
        <v>253</v>
      </c>
      <c r="E66" s="82" t="s">
        <v>256</v>
      </c>
      <c r="F66" s="82" t="s">
        <v>258</v>
      </c>
      <c r="G66" s="39">
        <f>G67</f>
        <v>0</v>
      </c>
      <c r="H66" s="141">
        <f>H67</f>
        <v>0</v>
      </c>
      <c r="I66" s="39"/>
    </row>
    <row r="67" spans="1:9" ht="25.5">
      <c r="A67" s="41" t="s">
        <v>192</v>
      </c>
      <c r="B67" s="80" t="s">
        <v>233</v>
      </c>
      <c r="C67" s="80" t="s">
        <v>231</v>
      </c>
      <c r="D67" s="82" t="s">
        <v>253</v>
      </c>
      <c r="E67" s="82" t="s">
        <v>256</v>
      </c>
      <c r="F67" s="82" t="s">
        <v>258</v>
      </c>
      <c r="G67" s="39">
        <f>'5225200'!K30</f>
        <v>0</v>
      </c>
      <c r="H67" s="141">
        <f>'5225200'!N30</f>
        <v>0</v>
      </c>
      <c r="I67" s="39"/>
    </row>
    <row r="68" spans="1:9" ht="13.5" customHeight="1">
      <c r="A68" s="89" t="s">
        <v>149</v>
      </c>
      <c r="B68" s="60" t="s">
        <v>233</v>
      </c>
      <c r="C68" s="80" t="s">
        <v>231</v>
      </c>
      <c r="D68" s="82">
        <v>10</v>
      </c>
      <c r="E68" s="82"/>
      <c r="F68" s="82"/>
      <c r="G68" s="39">
        <f>G69</f>
        <v>3090.3</v>
      </c>
      <c r="H68" s="141">
        <f>H69</f>
        <v>0</v>
      </c>
      <c r="I68" s="39">
        <f aca="true" t="shared" si="7" ref="I68:I121">H68/G68*100</f>
        <v>0</v>
      </c>
    </row>
    <row r="69" spans="1:9" ht="13.5" customHeight="1">
      <c r="A69" s="39" t="s">
        <v>236</v>
      </c>
      <c r="B69" s="60" t="s">
        <v>233</v>
      </c>
      <c r="C69" s="80" t="s">
        <v>231</v>
      </c>
      <c r="D69" s="82">
        <v>10</v>
      </c>
      <c r="E69" s="82" t="s">
        <v>237</v>
      </c>
      <c r="F69" s="82"/>
      <c r="G69" s="39">
        <f>G70</f>
        <v>3090.3</v>
      </c>
      <c r="H69" s="141">
        <f>H70</f>
        <v>0</v>
      </c>
      <c r="I69" s="39">
        <f t="shared" si="7"/>
        <v>0</v>
      </c>
    </row>
    <row r="70" spans="1:9" ht="13.5" customHeight="1">
      <c r="A70" s="39" t="s">
        <v>238</v>
      </c>
      <c r="B70" s="60" t="s">
        <v>233</v>
      </c>
      <c r="C70" s="80" t="s">
        <v>231</v>
      </c>
      <c r="D70" s="82">
        <v>10</v>
      </c>
      <c r="E70" s="82" t="s">
        <v>237</v>
      </c>
      <c r="F70" s="82" t="s">
        <v>239</v>
      </c>
      <c r="G70" s="39">
        <f>'5225200'!K36</f>
        <v>3090.3</v>
      </c>
      <c r="H70" s="141">
        <f>'5225200'!N36</f>
        <v>0</v>
      </c>
      <c r="I70" s="39">
        <f t="shared" si="7"/>
        <v>0</v>
      </c>
    </row>
    <row r="71" spans="1:9" ht="38.25">
      <c r="A71" s="41" t="s">
        <v>243</v>
      </c>
      <c r="B71" s="60" t="s">
        <v>233</v>
      </c>
      <c r="C71" s="80" t="s">
        <v>231</v>
      </c>
      <c r="D71" s="86">
        <v>14</v>
      </c>
      <c r="E71" s="82"/>
      <c r="F71" s="82"/>
      <c r="G71" s="39">
        <f aca="true" t="shared" si="8" ref="G71:H73">G72</f>
        <v>24620</v>
      </c>
      <c r="H71" s="141">
        <f t="shared" si="8"/>
        <v>0</v>
      </c>
      <c r="I71" s="39">
        <f t="shared" si="7"/>
        <v>0</v>
      </c>
    </row>
    <row r="72" spans="1:9" ht="13.5" customHeight="1">
      <c r="A72" s="41" t="s">
        <v>244</v>
      </c>
      <c r="B72" s="60" t="s">
        <v>233</v>
      </c>
      <c r="C72" s="80" t="s">
        <v>231</v>
      </c>
      <c r="D72" s="86">
        <v>14</v>
      </c>
      <c r="E72" s="82" t="s">
        <v>237</v>
      </c>
      <c r="F72" s="82"/>
      <c r="G72" s="39">
        <f t="shared" si="8"/>
        <v>24620</v>
      </c>
      <c r="H72" s="141">
        <f t="shared" si="8"/>
        <v>0</v>
      </c>
      <c r="I72" s="39">
        <f t="shared" si="7"/>
        <v>0</v>
      </c>
    </row>
    <row r="73" spans="1:9" ht="13.5" customHeight="1">
      <c r="A73" s="41" t="s">
        <v>240</v>
      </c>
      <c r="B73" s="60" t="s">
        <v>233</v>
      </c>
      <c r="C73" s="80" t="s">
        <v>231</v>
      </c>
      <c r="D73" s="86">
        <v>14</v>
      </c>
      <c r="E73" s="82" t="s">
        <v>237</v>
      </c>
      <c r="F73" s="82" t="s">
        <v>241</v>
      </c>
      <c r="G73" s="39">
        <f t="shared" si="8"/>
        <v>24620</v>
      </c>
      <c r="H73" s="141">
        <f t="shared" si="8"/>
        <v>0</v>
      </c>
      <c r="I73" s="39">
        <f t="shared" si="7"/>
        <v>0</v>
      </c>
    </row>
    <row r="74" spans="1:9" ht="13.5" customHeight="1">
      <c r="A74" s="85" t="s">
        <v>194</v>
      </c>
      <c r="B74" s="60" t="s">
        <v>233</v>
      </c>
      <c r="C74" s="80" t="s">
        <v>231</v>
      </c>
      <c r="D74" s="86">
        <v>14</v>
      </c>
      <c r="E74" s="82" t="s">
        <v>237</v>
      </c>
      <c r="F74" s="82" t="s">
        <v>241</v>
      </c>
      <c r="G74" s="39">
        <f>'5225200'!K41</f>
        <v>24620</v>
      </c>
      <c r="H74" s="141">
        <f>'5225200'!N41</f>
        <v>0</v>
      </c>
      <c r="I74" s="39">
        <f t="shared" si="7"/>
        <v>0</v>
      </c>
    </row>
    <row r="75" spans="1:9" ht="32.25" customHeight="1">
      <c r="A75" s="79" t="s">
        <v>251</v>
      </c>
      <c r="B75" s="60" t="s">
        <v>233</v>
      </c>
      <c r="C75" s="81" t="s">
        <v>252</v>
      </c>
      <c r="D75" s="39"/>
      <c r="E75" s="81"/>
      <c r="F75" s="81"/>
      <c r="G75" s="40">
        <f>G76</f>
        <v>2500</v>
      </c>
      <c r="H75" s="140">
        <v>0</v>
      </c>
      <c r="I75" s="39">
        <f t="shared" si="7"/>
        <v>0</v>
      </c>
    </row>
    <row r="76" spans="1:9" ht="13.5" customHeight="1">
      <c r="A76" s="95" t="s">
        <v>255</v>
      </c>
      <c r="B76" s="60" t="s">
        <v>233</v>
      </c>
      <c r="C76" s="81" t="s">
        <v>252</v>
      </c>
      <c r="D76" s="81" t="s">
        <v>253</v>
      </c>
      <c r="E76" s="81"/>
      <c r="F76" s="81"/>
      <c r="G76" s="39">
        <f>G77</f>
        <v>2500</v>
      </c>
      <c r="H76" s="141">
        <v>0</v>
      </c>
      <c r="I76" s="39">
        <f t="shared" si="7"/>
        <v>0</v>
      </c>
    </row>
    <row r="77" spans="1:9" ht="13.5" customHeight="1">
      <c r="A77" s="95" t="s">
        <v>254</v>
      </c>
      <c r="B77" s="60" t="s">
        <v>233</v>
      </c>
      <c r="C77" s="81" t="s">
        <v>252</v>
      </c>
      <c r="D77" s="81" t="s">
        <v>253</v>
      </c>
      <c r="E77" s="81" t="s">
        <v>250</v>
      </c>
      <c r="F77" s="81"/>
      <c r="G77" s="39">
        <f>G78</f>
        <v>2500</v>
      </c>
      <c r="H77" s="141">
        <v>0</v>
      </c>
      <c r="I77" s="39">
        <f t="shared" si="7"/>
        <v>0</v>
      </c>
    </row>
    <row r="78" spans="1:9" ht="27" customHeight="1">
      <c r="A78" s="41" t="s">
        <v>327</v>
      </c>
      <c r="B78" s="60" t="s">
        <v>233</v>
      </c>
      <c r="C78" s="81" t="s">
        <v>252</v>
      </c>
      <c r="D78" s="81" t="s">
        <v>253</v>
      </c>
      <c r="E78" s="81" t="s">
        <v>250</v>
      </c>
      <c r="F78" s="81" t="s">
        <v>314</v>
      </c>
      <c r="G78" s="39">
        <f>'5225200'!K82</f>
        <v>2500</v>
      </c>
      <c r="H78" s="141">
        <f>'5225200'!N82</f>
        <v>0</v>
      </c>
      <c r="I78" s="39">
        <f t="shared" si="7"/>
        <v>0</v>
      </c>
    </row>
    <row r="79" spans="1:9" ht="37.5" customHeight="1">
      <c r="A79" s="42" t="s">
        <v>5</v>
      </c>
      <c r="B79" s="77" t="s">
        <v>247</v>
      </c>
      <c r="C79" s="81"/>
      <c r="D79" s="39"/>
      <c r="E79" s="81"/>
      <c r="F79" s="81"/>
      <c r="G79" s="40">
        <f>SUM(G80)</f>
        <v>11000</v>
      </c>
      <c r="H79" s="140">
        <f>SUM(H80)</f>
        <v>0</v>
      </c>
      <c r="I79" s="40">
        <f t="shared" si="7"/>
        <v>0</v>
      </c>
    </row>
    <row r="80" spans="1:9" ht="28.5" customHeight="1">
      <c r="A80" s="79" t="s">
        <v>230</v>
      </c>
      <c r="B80" s="60" t="s">
        <v>247</v>
      </c>
      <c r="C80" s="80" t="s">
        <v>231</v>
      </c>
      <c r="D80" s="39"/>
      <c r="E80" s="81"/>
      <c r="F80" s="81"/>
      <c r="G80" s="40">
        <f>G92+G85+G81</f>
        <v>11000</v>
      </c>
      <c r="H80" s="40">
        <f>H92+H85+H81</f>
        <v>0</v>
      </c>
      <c r="I80" s="40">
        <f t="shared" si="7"/>
        <v>0</v>
      </c>
    </row>
    <row r="81" spans="1:9" ht="12.75" customHeight="1">
      <c r="A81" s="41" t="s">
        <v>279</v>
      </c>
      <c r="B81" s="60" t="s">
        <v>247</v>
      </c>
      <c r="C81" s="80" t="s">
        <v>231</v>
      </c>
      <c r="D81" s="82" t="s">
        <v>271</v>
      </c>
      <c r="E81" s="82"/>
      <c r="F81" s="82"/>
      <c r="G81" s="39">
        <f>G82</f>
        <v>0</v>
      </c>
      <c r="H81" s="141">
        <f>H82</f>
        <v>0</v>
      </c>
      <c r="I81" s="39"/>
    </row>
    <row r="82" spans="1:9" ht="12.75" customHeight="1">
      <c r="A82" s="41" t="s">
        <v>325</v>
      </c>
      <c r="B82" s="60" t="s">
        <v>247</v>
      </c>
      <c r="C82" s="80" t="s">
        <v>231</v>
      </c>
      <c r="D82" s="82" t="s">
        <v>271</v>
      </c>
      <c r="E82" s="82" t="s">
        <v>253</v>
      </c>
      <c r="F82" s="82"/>
      <c r="G82" s="39">
        <f>G83</f>
        <v>0</v>
      </c>
      <c r="H82" s="141">
        <f>H83</f>
        <v>0</v>
      </c>
      <c r="I82" s="39"/>
    </row>
    <row r="83" spans="1:9" ht="12.75" customHeight="1">
      <c r="A83" s="41" t="s">
        <v>240</v>
      </c>
      <c r="B83" s="60" t="s">
        <v>247</v>
      </c>
      <c r="C83" s="80" t="s">
        <v>231</v>
      </c>
      <c r="D83" s="82" t="s">
        <v>271</v>
      </c>
      <c r="E83" s="82" t="s">
        <v>253</v>
      </c>
      <c r="F83" s="82" t="s">
        <v>241</v>
      </c>
      <c r="G83" s="39">
        <f>SUM(G84)</f>
        <v>0</v>
      </c>
      <c r="H83" s="141">
        <f>SUM(H84)</f>
        <v>0</v>
      </c>
      <c r="I83" s="39"/>
    </row>
    <row r="84" spans="1:9" ht="12.75" customHeight="1">
      <c r="A84" s="85" t="s">
        <v>193</v>
      </c>
      <c r="B84" s="60" t="s">
        <v>247</v>
      </c>
      <c r="C84" s="80" t="s">
        <v>231</v>
      </c>
      <c r="D84" s="82" t="s">
        <v>271</v>
      </c>
      <c r="E84" s="82" t="s">
        <v>253</v>
      </c>
      <c r="F84" s="82" t="s">
        <v>241</v>
      </c>
      <c r="G84" s="39">
        <f>'5225500'!J15</f>
        <v>0</v>
      </c>
      <c r="H84" s="141">
        <f>'5225500'!L15</f>
        <v>0</v>
      </c>
      <c r="I84" s="39"/>
    </row>
    <row r="85" spans="1:9" ht="12.75" customHeight="1">
      <c r="A85" s="566" t="s">
        <v>76</v>
      </c>
      <c r="B85" s="60" t="s">
        <v>247</v>
      </c>
      <c r="C85" s="80" t="s">
        <v>231</v>
      </c>
      <c r="D85" s="82" t="s">
        <v>77</v>
      </c>
      <c r="E85" s="82"/>
      <c r="F85" s="567"/>
      <c r="G85" s="39">
        <f>G86+G89</f>
        <v>0</v>
      </c>
      <c r="H85" s="39">
        <f>H86+H89</f>
        <v>0</v>
      </c>
      <c r="I85" s="39"/>
    </row>
    <row r="86" spans="1:9" ht="12.75" customHeight="1">
      <c r="A86" s="566" t="s">
        <v>78</v>
      </c>
      <c r="B86" s="60" t="s">
        <v>247</v>
      </c>
      <c r="C86" s="80" t="s">
        <v>231</v>
      </c>
      <c r="D86" s="82" t="s">
        <v>77</v>
      </c>
      <c r="E86" s="82" t="s">
        <v>250</v>
      </c>
      <c r="F86" s="567"/>
      <c r="G86" s="39">
        <f>G87</f>
        <v>0</v>
      </c>
      <c r="H86" s="39">
        <f>H87</f>
        <v>0</v>
      </c>
      <c r="I86" s="39"/>
    </row>
    <row r="87" spans="1:9" ht="12.75" customHeight="1">
      <c r="A87" s="41" t="s">
        <v>240</v>
      </c>
      <c r="B87" s="60" t="s">
        <v>247</v>
      </c>
      <c r="C87" s="80" t="s">
        <v>231</v>
      </c>
      <c r="D87" s="82" t="s">
        <v>77</v>
      </c>
      <c r="E87" s="82" t="s">
        <v>250</v>
      </c>
      <c r="F87" s="82" t="s">
        <v>241</v>
      </c>
      <c r="G87" s="39">
        <f>G88</f>
        <v>0</v>
      </c>
      <c r="H87" s="39">
        <f>H88</f>
        <v>0</v>
      </c>
      <c r="I87" s="39"/>
    </row>
    <row r="88" spans="1:9" ht="12.75" customHeight="1">
      <c r="A88" s="41" t="s">
        <v>245</v>
      </c>
      <c r="B88" s="60" t="s">
        <v>247</v>
      </c>
      <c r="C88" s="80" t="s">
        <v>231</v>
      </c>
      <c r="D88" s="82" t="s">
        <v>77</v>
      </c>
      <c r="E88" s="82" t="s">
        <v>250</v>
      </c>
      <c r="F88" s="82" t="s">
        <v>241</v>
      </c>
      <c r="G88" s="39">
        <f>'5225500'!J31</f>
        <v>0</v>
      </c>
      <c r="H88" s="141">
        <f>'5225500'!L31</f>
        <v>0</v>
      </c>
      <c r="I88" s="39"/>
    </row>
    <row r="89" spans="1:9" ht="12.75" customHeight="1">
      <c r="A89" s="566" t="s">
        <v>82</v>
      </c>
      <c r="B89" s="60" t="s">
        <v>247</v>
      </c>
      <c r="C89" s="80" t="s">
        <v>231</v>
      </c>
      <c r="D89" s="82" t="s">
        <v>77</v>
      </c>
      <c r="E89" s="82" t="s">
        <v>256</v>
      </c>
      <c r="F89" s="567"/>
      <c r="G89" s="39">
        <f>G90</f>
        <v>0</v>
      </c>
      <c r="H89" s="39">
        <f>H90</f>
        <v>0</v>
      </c>
      <c r="I89" s="39"/>
    </row>
    <row r="90" spans="1:9" ht="12.75" customHeight="1">
      <c r="A90" s="41" t="s">
        <v>240</v>
      </c>
      <c r="B90" s="60" t="s">
        <v>247</v>
      </c>
      <c r="C90" s="80" t="s">
        <v>231</v>
      </c>
      <c r="D90" s="82" t="s">
        <v>77</v>
      </c>
      <c r="E90" s="82" t="s">
        <v>256</v>
      </c>
      <c r="F90" s="82" t="s">
        <v>241</v>
      </c>
      <c r="G90" s="39">
        <f>G91</f>
        <v>0</v>
      </c>
      <c r="H90" s="39">
        <f>H91</f>
        <v>0</v>
      </c>
      <c r="I90" s="39"/>
    </row>
    <row r="91" spans="1:9" ht="12.75" customHeight="1">
      <c r="A91" s="41" t="s">
        <v>245</v>
      </c>
      <c r="B91" s="60" t="s">
        <v>247</v>
      </c>
      <c r="C91" s="80" t="s">
        <v>231</v>
      </c>
      <c r="D91" s="82" t="s">
        <v>77</v>
      </c>
      <c r="E91" s="82" t="s">
        <v>256</v>
      </c>
      <c r="F91" s="82" t="s">
        <v>241</v>
      </c>
      <c r="G91" s="39">
        <f>'5225500'!J36</f>
        <v>0</v>
      </c>
      <c r="H91" s="141">
        <f>'5225500'!L36</f>
        <v>0</v>
      </c>
      <c r="I91" s="39"/>
    </row>
    <row r="92" spans="1:9" ht="38.25">
      <c r="A92" s="41" t="s">
        <v>243</v>
      </c>
      <c r="B92" s="60" t="s">
        <v>247</v>
      </c>
      <c r="C92" s="80" t="s">
        <v>231</v>
      </c>
      <c r="D92" s="86">
        <v>14</v>
      </c>
      <c r="E92" s="82"/>
      <c r="F92" s="82"/>
      <c r="G92" s="39">
        <f>G93</f>
        <v>11000</v>
      </c>
      <c r="H92" s="141">
        <f>H93</f>
        <v>0</v>
      </c>
      <c r="I92" s="39">
        <f t="shared" si="7"/>
        <v>0</v>
      </c>
    </row>
    <row r="93" spans="1:9" ht="13.5" customHeight="1">
      <c r="A93" s="41" t="s">
        <v>244</v>
      </c>
      <c r="B93" s="60" t="s">
        <v>247</v>
      </c>
      <c r="C93" s="80" t="s">
        <v>231</v>
      </c>
      <c r="D93" s="86">
        <v>14</v>
      </c>
      <c r="E93" s="82" t="s">
        <v>237</v>
      </c>
      <c r="F93" s="82"/>
      <c r="G93" s="39">
        <f>G94</f>
        <v>11000</v>
      </c>
      <c r="H93" s="141">
        <f>H94</f>
        <v>0</v>
      </c>
      <c r="I93" s="39">
        <f t="shared" si="7"/>
        <v>0</v>
      </c>
    </row>
    <row r="94" spans="1:9" ht="13.5" customHeight="1">
      <c r="A94" s="41" t="s">
        <v>240</v>
      </c>
      <c r="B94" s="60" t="s">
        <v>247</v>
      </c>
      <c r="C94" s="80" t="s">
        <v>231</v>
      </c>
      <c r="D94" s="86">
        <v>14</v>
      </c>
      <c r="E94" s="82" t="s">
        <v>237</v>
      </c>
      <c r="F94" s="82" t="s">
        <v>241</v>
      </c>
      <c r="G94" s="39">
        <f>SUM(G95)</f>
        <v>11000</v>
      </c>
      <c r="H94" s="141">
        <f>SUM(H95)</f>
        <v>0</v>
      </c>
      <c r="I94" s="39">
        <f t="shared" si="7"/>
        <v>0</v>
      </c>
    </row>
    <row r="95" spans="1:9" ht="13.5" customHeight="1">
      <c r="A95" s="85" t="s">
        <v>193</v>
      </c>
      <c r="B95" s="60" t="s">
        <v>247</v>
      </c>
      <c r="C95" s="80" t="s">
        <v>231</v>
      </c>
      <c r="D95" s="86">
        <v>14</v>
      </c>
      <c r="E95" s="82" t="s">
        <v>237</v>
      </c>
      <c r="F95" s="82" t="s">
        <v>241</v>
      </c>
      <c r="G95" s="39">
        <f>'5225500'!J41</f>
        <v>11000</v>
      </c>
      <c r="H95" s="141">
        <f>'5225500'!L41</f>
        <v>0</v>
      </c>
      <c r="I95" s="39">
        <f t="shared" si="7"/>
        <v>0</v>
      </c>
    </row>
    <row r="96" spans="1:9" ht="40.5" customHeight="1">
      <c r="A96" s="42" t="s">
        <v>131</v>
      </c>
      <c r="B96" s="90" t="s">
        <v>260</v>
      </c>
      <c r="C96" s="77"/>
      <c r="D96" s="77"/>
      <c r="E96" s="78"/>
      <c r="F96" s="78"/>
      <c r="G96" s="106">
        <f aca="true" t="shared" si="9" ref="G96:H99">G97</f>
        <v>9694.699999999999</v>
      </c>
      <c r="H96" s="144">
        <f t="shared" si="9"/>
        <v>87.2</v>
      </c>
      <c r="I96" s="40">
        <f t="shared" si="7"/>
        <v>0.8994605299802987</v>
      </c>
    </row>
    <row r="97" spans="1:9" ht="28.5" customHeight="1">
      <c r="A97" s="79" t="s">
        <v>230</v>
      </c>
      <c r="B97" s="60" t="s">
        <v>260</v>
      </c>
      <c r="C97" s="80" t="s">
        <v>231</v>
      </c>
      <c r="D97" s="80"/>
      <c r="E97" s="82"/>
      <c r="F97" s="82"/>
      <c r="G97" s="93">
        <f t="shared" si="9"/>
        <v>9694.699999999999</v>
      </c>
      <c r="H97" s="142">
        <f t="shared" si="9"/>
        <v>87.2</v>
      </c>
      <c r="I97" s="40">
        <f t="shared" si="7"/>
        <v>0.8994605299802987</v>
      </c>
    </row>
    <row r="98" spans="1:9" ht="13.5" customHeight="1">
      <c r="A98" s="39" t="s">
        <v>264</v>
      </c>
      <c r="B98" s="60" t="s">
        <v>260</v>
      </c>
      <c r="C98" s="80" t="s">
        <v>231</v>
      </c>
      <c r="D98" s="82" t="s">
        <v>263</v>
      </c>
      <c r="E98" s="82"/>
      <c r="F98" s="82"/>
      <c r="G98" s="91">
        <f t="shared" si="9"/>
        <v>9694.699999999999</v>
      </c>
      <c r="H98" s="143">
        <f t="shared" si="9"/>
        <v>87.2</v>
      </c>
      <c r="I98" s="39">
        <f t="shared" si="7"/>
        <v>0.8994605299802987</v>
      </c>
    </row>
    <row r="99" spans="1:9" ht="13.5" customHeight="1">
      <c r="A99" s="39" t="s">
        <v>265</v>
      </c>
      <c r="B99" s="60" t="s">
        <v>260</v>
      </c>
      <c r="C99" s="80" t="s">
        <v>231</v>
      </c>
      <c r="D99" s="82" t="s">
        <v>263</v>
      </c>
      <c r="E99" s="82" t="s">
        <v>256</v>
      </c>
      <c r="F99" s="82"/>
      <c r="G99" s="91">
        <f t="shared" si="9"/>
        <v>9694.699999999999</v>
      </c>
      <c r="H99" s="143">
        <f t="shared" si="9"/>
        <v>87.2</v>
      </c>
      <c r="I99" s="39">
        <f t="shared" si="7"/>
        <v>0.8994605299802987</v>
      </c>
    </row>
    <row r="100" spans="1:9" ht="13.5" customHeight="1">
      <c r="A100" s="41" t="s">
        <v>240</v>
      </c>
      <c r="B100" s="60" t="s">
        <v>260</v>
      </c>
      <c r="C100" s="80" t="s">
        <v>231</v>
      </c>
      <c r="D100" s="82" t="s">
        <v>263</v>
      </c>
      <c r="E100" s="82" t="s">
        <v>256</v>
      </c>
      <c r="F100" s="82" t="s">
        <v>241</v>
      </c>
      <c r="G100" s="39">
        <f>SUM(G101+G102)</f>
        <v>9694.699999999999</v>
      </c>
      <c r="H100" s="141">
        <f>SUM(H101+H102)</f>
        <v>87.2</v>
      </c>
      <c r="I100" s="39">
        <f t="shared" si="7"/>
        <v>0.8994605299802987</v>
      </c>
    </row>
    <row r="101" spans="1:9" ht="13.5" customHeight="1">
      <c r="A101" s="85" t="s">
        <v>193</v>
      </c>
      <c r="B101" s="60" t="s">
        <v>260</v>
      </c>
      <c r="C101" s="80" t="s">
        <v>231</v>
      </c>
      <c r="D101" s="82" t="s">
        <v>263</v>
      </c>
      <c r="E101" s="82" t="s">
        <v>256</v>
      </c>
      <c r="F101" s="82" t="s">
        <v>241</v>
      </c>
      <c r="G101" s="39">
        <f>'5225800'!J15</f>
        <v>9694.699999999999</v>
      </c>
      <c r="H101" s="141">
        <f>'5225800'!L15</f>
        <v>87.2</v>
      </c>
      <c r="I101" s="39">
        <f t="shared" si="7"/>
        <v>0.8994605299802987</v>
      </c>
    </row>
    <row r="102" spans="1:9" ht="13.5" customHeight="1">
      <c r="A102" s="85" t="s">
        <v>194</v>
      </c>
      <c r="B102" s="60" t="s">
        <v>260</v>
      </c>
      <c r="C102" s="80" t="s">
        <v>231</v>
      </c>
      <c r="D102" s="82" t="s">
        <v>263</v>
      </c>
      <c r="E102" s="82" t="s">
        <v>256</v>
      </c>
      <c r="F102" s="82" t="s">
        <v>241</v>
      </c>
      <c r="G102" s="39">
        <f>'5225800'!J31</f>
        <v>0</v>
      </c>
      <c r="H102" s="141">
        <f>'5225800'!L31</f>
        <v>0</v>
      </c>
      <c r="I102" s="39"/>
    </row>
    <row r="103" spans="1:9" s="7" customFormat="1" ht="66.75" customHeight="1">
      <c r="A103" s="42" t="s">
        <v>130</v>
      </c>
      <c r="B103" s="77" t="s">
        <v>262</v>
      </c>
      <c r="C103" s="87"/>
      <c r="D103" s="40"/>
      <c r="E103" s="87"/>
      <c r="F103" s="87"/>
      <c r="G103" s="40">
        <f>G104+G118</f>
        <v>55511.5</v>
      </c>
      <c r="H103" s="140">
        <f>H104+H118</f>
        <v>23699.4</v>
      </c>
      <c r="I103" s="40">
        <f t="shared" si="7"/>
        <v>42.6927753708691</v>
      </c>
    </row>
    <row r="104" spans="1:9" ht="27.75" customHeight="1">
      <c r="A104" s="79" t="s">
        <v>230</v>
      </c>
      <c r="B104" s="80" t="s">
        <v>262</v>
      </c>
      <c r="C104" s="80" t="s">
        <v>231</v>
      </c>
      <c r="D104" s="39"/>
      <c r="E104" s="81"/>
      <c r="F104" s="81"/>
      <c r="G104" s="40">
        <f>SUM(G105)</f>
        <v>55334.5</v>
      </c>
      <c r="H104" s="140">
        <f>SUM(H105)</f>
        <v>23699.4</v>
      </c>
      <c r="I104" s="40">
        <f t="shared" si="7"/>
        <v>42.82933793564594</v>
      </c>
    </row>
    <row r="105" spans="1:9" ht="12.75">
      <c r="A105" s="39" t="s">
        <v>264</v>
      </c>
      <c r="B105" s="80" t="s">
        <v>262</v>
      </c>
      <c r="C105" s="80" t="s">
        <v>231</v>
      </c>
      <c r="D105" s="82" t="s">
        <v>263</v>
      </c>
      <c r="E105" s="81"/>
      <c r="F105" s="81"/>
      <c r="G105" s="39">
        <f>SUM(G106)</f>
        <v>55334.5</v>
      </c>
      <c r="H105" s="141">
        <f>SUM(H106)</f>
        <v>23699.4</v>
      </c>
      <c r="I105" s="39">
        <f t="shared" si="7"/>
        <v>42.82933793564594</v>
      </c>
    </row>
    <row r="106" spans="1:9" ht="12.75">
      <c r="A106" s="39" t="s">
        <v>265</v>
      </c>
      <c r="B106" s="80" t="s">
        <v>262</v>
      </c>
      <c r="C106" s="80" t="s">
        <v>231</v>
      </c>
      <c r="D106" s="82" t="s">
        <v>263</v>
      </c>
      <c r="E106" s="82" t="s">
        <v>256</v>
      </c>
      <c r="F106" s="81"/>
      <c r="G106" s="39">
        <f>SUM(G107+G110)</f>
        <v>55334.5</v>
      </c>
      <c r="H106" s="141">
        <f>SUM(H107+H110)</f>
        <v>23699.4</v>
      </c>
      <c r="I106" s="39">
        <f t="shared" si="7"/>
        <v>42.82933793564594</v>
      </c>
    </row>
    <row r="107" spans="1:9" ht="12.75">
      <c r="A107" s="88" t="s">
        <v>257</v>
      </c>
      <c r="B107" s="80" t="s">
        <v>262</v>
      </c>
      <c r="C107" s="80" t="s">
        <v>231</v>
      </c>
      <c r="D107" s="82" t="s">
        <v>263</v>
      </c>
      <c r="E107" s="82" t="s">
        <v>256</v>
      </c>
      <c r="F107" s="82" t="s">
        <v>258</v>
      </c>
      <c r="G107" s="39">
        <f>SUM(G108+G109)</f>
        <v>30389</v>
      </c>
      <c r="H107" s="141">
        <f>SUM(H108+H109)</f>
        <v>21635.5</v>
      </c>
      <c r="I107" s="39">
        <f t="shared" si="7"/>
        <v>71.19516930468262</v>
      </c>
    </row>
    <row r="108" spans="1:9" ht="25.5">
      <c r="A108" s="41" t="s">
        <v>230</v>
      </c>
      <c r="B108" s="80" t="s">
        <v>262</v>
      </c>
      <c r="C108" s="80" t="s">
        <v>231</v>
      </c>
      <c r="D108" s="82" t="s">
        <v>263</v>
      </c>
      <c r="E108" s="82" t="s">
        <v>256</v>
      </c>
      <c r="F108" s="82" t="s">
        <v>258</v>
      </c>
      <c r="G108" s="39">
        <f>'5225900'!J16</f>
        <v>28895</v>
      </c>
      <c r="H108" s="141">
        <f>'5225900'!L16</f>
        <v>20141.5</v>
      </c>
      <c r="I108" s="39">
        <f t="shared" si="7"/>
        <v>69.70583145872989</v>
      </c>
    </row>
    <row r="109" spans="1:9" ht="25.5">
      <c r="A109" s="41" t="s">
        <v>192</v>
      </c>
      <c r="B109" s="80" t="s">
        <v>262</v>
      </c>
      <c r="C109" s="80" t="s">
        <v>231</v>
      </c>
      <c r="D109" s="82" t="s">
        <v>263</v>
      </c>
      <c r="E109" s="82" t="s">
        <v>256</v>
      </c>
      <c r="F109" s="82" t="s">
        <v>258</v>
      </c>
      <c r="G109" s="39">
        <f>'5225900'!J19</f>
        <v>1494</v>
      </c>
      <c r="H109" s="141">
        <f>'5225900'!L19</f>
        <v>1494</v>
      </c>
      <c r="I109" s="39">
        <f t="shared" si="7"/>
        <v>100</v>
      </c>
    </row>
    <row r="110" spans="1:9" ht="12.75">
      <c r="A110" s="41" t="s">
        <v>299</v>
      </c>
      <c r="B110" s="80" t="s">
        <v>262</v>
      </c>
      <c r="C110" s="80" t="s">
        <v>231</v>
      </c>
      <c r="D110" s="82" t="s">
        <v>263</v>
      </c>
      <c r="E110" s="82" t="s">
        <v>256</v>
      </c>
      <c r="F110" s="82" t="s">
        <v>241</v>
      </c>
      <c r="G110" s="39">
        <f>SUM(G111+G112)</f>
        <v>24945.5</v>
      </c>
      <c r="H110" s="141">
        <f>SUM(H111+H112)</f>
        <v>2063.9</v>
      </c>
      <c r="I110" s="39">
        <f t="shared" si="7"/>
        <v>8.273636527630234</v>
      </c>
    </row>
    <row r="111" spans="1:9" ht="12.75">
      <c r="A111" s="85" t="s">
        <v>193</v>
      </c>
      <c r="B111" s="80" t="s">
        <v>262</v>
      </c>
      <c r="C111" s="80" t="s">
        <v>231</v>
      </c>
      <c r="D111" s="82" t="s">
        <v>263</v>
      </c>
      <c r="E111" s="82" t="s">
        <v>256</v>
      </c>
      <c r="F111" s="82" t="s">
        <v>241</v>
      </c>
      <c r="G111" s="39">
        <f>'5225900'!J23</f>
        <v>0</v>
      </c>
      <c r="H111" s="141">
        <f>'5225900'!L23</f>
        <v>0</v>
      </c>
      <c r="I111" s="39"/>
    </row>
    <row r="112" spans="1:9" ht="12.75">
      <c r="A112" s="85" t="s">
        <v>194</v>
      </c>
      <c r="B112" s="80" t="s">
        <v>262</v>
      </c>
      <c r="C112" s="80" t="s">
        <v>231</v>
      </c>
      <c r="D112" s="82" t="s">
        <v>263</v>
      </c>
      <c r="E112" s="82" t="s">
        <v>256</v>
      </c>
      <c r="F112" s="82" t="s">
        <v>241</v>
      </c>
      <c r="G112" s="39">
        <f>'5225900'!J32</f>
        <v>24945.5</v>
      </c>
      <c r="H112" s="141">
        <f>'5225900'!L32</f>
        <v>2063.9</v>
      </c>
      <c r="I112" s="39">
        <f t="shared" si="7"/>
        <v>8.273636527630234</v>
      </c>
    </row>
    <row r="113" spans="1:9" ht="12.75">
      <c r="A113" s="41" t="s">
        <v>174</v>
      </c>
      <c r="B113" s="39" t="s">
        <v>262</v>
      </c>
      <c r="C113" s="80" t="s">
        <v>231</v>
      </c>
      <c r="D113" s="82" t="s">
        <v>263</v>
      </c>
      <c r="E113" s="82" t="s">
        <v>256</v>
      </c>
      <c r="F113" s="82" t="s">
        <v>241</v>
      </c>
      <c r="G113" s="39">
        <f>'5225900'!J58</f>
        <v>0</v>
      </c>
      <c r="H113" s="39">
        <f>'5225900'!L58</f>
        <v>0</v>
      </c>
      <c r="I113" s="39"/>
    </row>
    <row r="114" spans="1:9" ht="27">
      <c r="A114" s="92" t="s">
        <v>251</v>
      </c>
      <c r="B114" s="39" t="s">
        <v>262</v>
      </c>
      <c r="C114" s="82" t="s">
        <v>252</v>
      </c>
      <c r="D114" s="82"/>
      <c r="E114" s="81"/>
      <c r="F114" s="81"/>
      <c r="G114" s="7">
        <f>G115</f>
        <v>0</v>
      </c>
      <c r="H114" s="7">
        <f>H115</f>
        <v>0</v>
      </c>
      <c r="I114" s="40"/>
    </row>
    <row r="115" spans="1:9" ht="12.75">
      <c r="A115" s="88" t="s">
        <v>255</v>
      </c>
      <c r="B115" s="39" t="s">
        <v>262</v>
      </c>
      <c r="C115" s="80" t="s">
        <v>252</v>
      </c>
      <c r="D115" s="82" t="s">
        <v>253</v>
      </c>
      <c r="E115" s="82"/>
      <c r="F115" s="82"/>
      <c r="G115" s="138">
        <f>G117</f>
        <v>0</v>
      </c>
      <c r="H115" s="145">
        <f>H117</f>
        <v>0</v>
      </c>
      <c r="I115" s="39"/>
    </row>
    <row r="116" spans="1:9" ht="12.75">
      <c r="A116" s="88" t="s">
        <v>143</v>
      </c>
      <c r="B116" s="39" t="s">
        <v>262</v>
      </c>
      <c r="C116" s="82" t="s">
        <v>252</v>
      </c>
      <c r="D116" s="80" t="s">
        <v>253</v>
      </c>
      <c r="E116" s="82" t="s">
        <v>253</v>
      </c>
      <c r="F116" s="82"/>
      <c r="G116" s="138">
        <f>G117</f>
        <v>0</v>
      </c>
      <c r="H116" s="145">
        <f>H117</f>
        <v>0</v>
      </c>
      <c r="I116" s="39"/>
    </row>
    <row r="117" spans="1:9" ht="22.5" customHeight="1">
      <c r="A117" s="41" t="s">
        <v>327</v>
      </c>
      <c r="B117" s="39" t="s">
        <v>262</v>
      </c>
      <c r="C117" s="82" t="s">
        <v>252</v>
      </c>
      <c r="D117" s="82" t="s">
        <v>253</v>
      </c>
      <c r="E117" s="82" t="s">
        <v>253</v>
      </c>
      <c r="F117" s="82" t="s">
        <v>314</v>
      </c>
      <c r="G117" s="138">
        <f>'5225900'!J74</f>
        <v>0</v>
      </c>
      <c r="H117" s="141">
        <f>'5225900'!L74</f>
        <v>0</v>
      </c>
      <c r="I117" s="39"/>
    </row>
    <row r="118" spans="1:9" ht="40.5">
      <c r="A118" s="94" t="s">
        <v>267</v>
      </c>
      <c r="B118" s="80" t="s">
        <v>262</v>
      </c>
      <c r="C118" s="82" t="s">
        <v>268</v>
      </c>
      <c r="D118" s="39"/>
      <c r="E118" s="81"/>
      <c r="F118" s="81"/>
      <c r="G118" s="40">
        <f aca="true" t="shared" si="10" ref="G118:H120">SUM(G119)</f>
        <v>177</v>
      </c>
      <c r="H118" s="140">
        <f t="shared" si="10"/>
        <v>0</v>
      </c>
      <c r="I118" s="40">
        <f t="shared" si="7"/>
        <v>0</v>
      </c>
    </row>
    <row r="119" spans="1:9" ht="12.75">
      <c r="A119" s="39" t="s">
        <v>270</v>
      </c>
      <c r="B119" s="80" t="s">
        <v>262</v>
      </c>
      <c r="C119" s="82" t="s">
        <v>268</v>
      </c>
      <c r="D119" s="82" t="s">
        <v>269</v>
      </c>
      <c r="E119" s="81"/>
      <c r="F119" s="81"/>
      <c r="G119" s="39">
        <f t="shared" si="10"/>
        <v>177</v>
      </c>
      <c r="H119" s="141">
        <f t="shared" si="10"/>
        <v>0</v>
      </c>
      <c r="I119" s="39">
        <f t="shared" si="7"/>
        <v>0</v>
      </c>
    </row>
    <row r="120" spans="1:9" ht="12.75">
      <c r="A120" s="41" t="s">
        <v>272</v>
      </c>
      <c r="B120" s="80" t="s">
        <v>262</v>
      </c>
      <c r="C120" s="82" t="s">
        <v>268</v>
      </c>
      <c r="D120" s="82" t="s">
        <v>269</v>
      </c>
      <c r="E120" s="82" t="s">
        <v>271</v>
      </c>
      <c r="F120" s="81"/>
      <c r="G120" s="39">
        <f t="shared" si="10"/>
        <v>177</v>
      </c>
      <c r="H120" s="141">
        <f t="shared" si="10"/>
        <v>0</v>
      </c>
      <c r="I120" s="39">
        <f t="shared" si="7"/>
        <v>0</v>
      </c>
    </row>
    <row r="121" spans="1:9" ht="12.75">
      <c r="A121" s="41" t="s">
        <v>248</v>
      </c>
      <c r="B121" s="80" t="s">
        <v>262</v>
      </c>
      <c r="C121" s="82" t="s">
        <v>268</v>
      </c>
      <c r="D121" s="82" t="s">
        <v>269</v>
      </c>
      <c r="E121" s="82" t="s">
        <v>271</v>
      </c>
      <c r="F121" s="82" t="s">
        <v>249</v>
      </c>
      <c r="G121" s="39">
        <f>'5225900'!J68</f>
        <v>177</v>
      </c>
      <c r="H121" s="141">
        <f>'5225900'!L68</f>
        <v>0</v>
      </c>
      <c r="I121" s="39">
        <f t="shared" si="7"/>
        <v>0</v>
      </c>
    </row>
    <row r="122" spans="1:9" s="10" customFormat="1" ht="38.25">
      <c r="A122" s="42" t="s">
        <v>132</v>
      </c>
      <c r="B122" s="90" t="s">
        <v>274</v>
      </c>
      <c r="C122" s="43"/>
      <c r="D122" s="42"/>
      <c r="E122" s="43"/>
      <c r="F122" s="43"/>
      <c r="G122" s="40">
        <f>SUM(G123+G128)</f>
        <v>45396</v>
      </c>
      <c r="H122" s="140">
        <f>SUM(H123+H128)</f>
        <v>36384.2</v>
      </c>
      <c r="I122" s="40">
        <f aca="true" t="shared" si="11" ref="I122:I159">H122/G122*100</f>
        <v>80.14847123094545</v>
      </c>
    </row>
    <row r="123" spans="1:9" ht="27">
      <c r="A123" s="92" t="s">
        <v>275</v>
      </c>
      <c r="B123" s="60" t="s">
        <v>274</v>
      </c>
      <c r="C123" s="82" t="s">
        <v>276</v>
      </c>
      <c r="D123" s="39"/>
      <c r="E123" s="81"/>
      <c r="F123" s="81"/>
      <c r="G123" s="40">
        <f aca="true" t="shared" si="12" ref="G123:H130">SUM(G124)</f>
        <v>8916.2</v>
      </c>
      <c r="H123" s="140">
        <f t="shared" si="12"/>
        <v>8916.2</v>
      </c>
      <c r="I123" s="40">
        <f t="shared" si="11"/>
        <v>100</v>
      </c>
    </row>
    <row r="124" spans="1:9" ht="13.5" customHeight="1">
      <c r="A124" s="39" t="s">
        <v>279</v>
      </c>
      <c r="B124" s="60" t="s">
        <v>274</v>
      </c>
      <c r="C124" s="82" t="s">
        <v>276</v>
      </c>
      <c r="D124" s="82" t="s">
        <v>271</v>
      </c>
      <c r="E124" s="81"/>
      <c r="F124" s="81"/>
      <c r="G124" s="39">
        <f t="shared" si="12"/>
        <v>8916.2</v>
      </c>
      <c r="H124" s="141">
        <f t="shared" si="12"/>
        <v>8916.2</v>
      </c>
      <c r="I124" s="39">
        <f t="shared" si="11"/>
        <v>100</v>
      </c>
    </row>
    <row r="125" spans="1:9" ht="13.5" customHeight="1">
      <c r="A125" s="39" t="s">
        <v>280</v>
      </c>
      <c r="B125" s="60" t="s">
        <v>274</v>
      </c>
      <c r="C125" s="82" t="s">
        <v>276</v>
      </c>
      <c r="D125" s="82" t="s">
        <v>271</v>
      </c>
      <c r="E125" s="82">
        <v>12</v>
      </c>
      <c r="F125" s="81"/>
      <c r="G125" s="39">
        <f t="shared" si="12"/>
        <v>8916.2</v>
      </c>
      <c r="H125" s="141">
        <f t="shared" si="12"/>
        <v>8916.2</v>
      </c>
      <c r="I125" s="39">
        <f t="shared" si="11"/>
        <v>100</v>
      </c>
    </row>
    <row r="126" spans="1:9" ht="13.5" customHeight="1">
      <c r="A126" s="41" t="s">
        <v>240</v>
      </c>
      <c r="B126" s="60" t="s">
        <v>274</v>
      </c>
      <c r="C126" s="82" t="s">
        <v>276</v>
      </c>
      <c r="D126" s="82" t="s">
        <v>271</v>
      </c>
      <c r="E126" s="82">
        <v>12</v>
      </c>
      <c r="F126" s="82" t="s">
        <v>241</v>
      </c>
      <c r="G126" s="39">
        <f t="shared" si="12"/>
        <v>8916.2</v>
      </c>
      <c r="H126" s="141">
        <f t="shared" si="12"/>
        <v>8916.2</v>
      </c>
      <c r="I126" s="39">
        <f t="shared" si="11"/>
        <v>100</v>
      </c>
    </row>
    <row r="127" spans="1:9" ht="13.5" customHeight="1">
      <c r="A127" s="85" t="s">
        <v>194</v>
      </c>
      <c r="B127" s="60" t="s">
        <v>274</v>
      </c>
      <c r="C127" s="82" t="s">
        <v>276</v>
      </c>
      <c r="D127" s="82" t="s">
        <v>271</v>
      </c>
      <c r="E127" s="82">
        <v>12</v>
      </c>
      <c r="F127" s="82" t="s">
        <v>241</v>
      </c>
      <c r="G127" s="41">
        <f>'5226000'!J12</f>
        <v>8916.2</v>
      </c>
      <c r="H127" s="146">
        <f>'5226000'!L13</f>
        <v>8916.2</v>
      </c>
      <c r="I127" s="39">
        <f t="shared" si="11"/>
        <v>100</v>
      </c>
    </row>
    <row r="128" spans="1:9" ht="28.5" customHeight="1">
      <c r="A128" s="98" t="s">
        <v>117</v>
      </c>
      <c r="B128" s="231" t="s">
        <v>274</v>
      </c>
      <c r="C128" s="232" t="s">
        <v>118</v>
      </c>
      <c r="D128" s="192"/>
      <c r="E128" s="193"/>
      <c r="F128" s="193"/>
      <c r="G128" s="40">
        <f t="shared" si="12"/>
        <v>36479.8</v>
      </c>
      <c r="H128" s="140">
        <f t="shared" si="12"/>
        <v>27468</v>
      </c>
      <c r="I128" s="40">
        <f>H128/G128*100</f>
        <v>75.29646544114824</v>
      </c>
    </row>
    <row r="129" spans="1:9" ht="13.5" customHeight="1">
      <c r="A129" s="39" t="s">
        <v>279</v>
      </c>
      <c r="B129" s="41" t="s">
        <v>274</v>
      </c>
      <c r="C129" s="82" t="s">
        <v>118</v>
      </c>
      <c r="D129" s="82" t="s">
        <v>271</v>
      </c>
      <c r="E129" s="81"/>
      <c r="F129" s="81"/>
      <c r="G129" s="39">
        <f t="shared" si="12"/>
        <v>36479.8</v>
      </c>
      <c r="H129" s="141">
        <f t="shared" si="12"/>
        <v>27468</v>
      </c>
      <c r="I129" s="39">
        <f>H129/G129*100</f>
        <v>75.29646544114824</v>
      </c>
    </row>
    <row r="130" spans="1:9" ht="13.5" customHeight="1">
      <c r="A130" s="39" t="s">
        <v>280</v>
      </c>
      <c r="B130" s="41" t="s">
        <v>274</v>
      </c>
      <c r="C130" s="82" t="s">
        <v>118</v>
      </c>
      <c r="D130" s="82" t="s">
        <v>271</v>
      </c>
      <c r="E130" s="82">
        <v>12</v>
      </c>
      <c r="F130" s="81"/>
      <c r="G130" s="39">
        <f t="shared" si="12"/>
        <v>36479.8</v>
      </c>
      <c r="H130" s="141">
        <f t="shared" si="12"/>
        <v>27468</v>
      </c>
      <c r="I130" s="39">
        <f>H130/G130*100</f>
        <v>75.29646544114824</v>
      </c>
    </row>
    <row r="131" spans="1:9" ht="13.5" customHeight="1">
      <c r="A131" s="41" t="s">
        <v>324</v>
      </c>
      <c r="B131" s="41" t="s">
        <v>274</v>
      </c>
      <c r="C131" s="82" t="s">
        <v>118</v>
      </c>
      <c r="D131" s="82" t="s">
        <v>271</v>
      </c>
      <c r="E131" s="82">
        <v>12</v>
      </c>
      <c r="F131" s="82" t="s">
        <v>276</v>
      </c>
      <c r="G131" s="41">
        <f>'5226000'!J17</f>
        <v>36479.8</v>
      </c>
      <c r="H131" s="146">
        <f>'5226000'!L17</f>
        <v>27468</v>
      </c>
      <c r="I131" s="39">
        <f t="shared" si="11"/>
        <v>75.29646544114824</v>
      </c>
    </row>
    <row r="132" spans="1:9" ht="51">
      <c r="A132" s="42" t="s">
        <v>4</v>
      </c>
      <c r="B132" s="77" t="s">
        <v>278</v>
      </c>
      <c r="C132" s="81"/>
      <c r="D132" s="39"/>
      <c r="E132" s="81"/>
      <c r="F132" s="81"/>
      <c r="G132" s="40">
        <f>SUM(G133+G137+G143)</f>
        <v>49561.299999999996</v>
      </c>
      <c r="H132" s="140">
        <f>SUM(H133+H137+H143)</f>
        <v>32224.500000000004</v>
      </c>
      <c r="I132" s="40">
        <f t="shared" si="11"/>
        <v>65.01948092564159</v>
      </c>
    </row>
    <row r="133" spans="1:9" ht="27">
      <c r="A133" s="79" t="s">
        <v>298</v>
      </c>
      <c r="B133" s="80" t="s">
        <v>278</v>
      </c>
      <c r="C133" s="82" t="s">
        <v>239</v>
      </c>
      <c r="D133" s="39"/>
      <c r="E133" s="81"/>
      <c r="F133" s="81"/>
      <c r="G133" s="40">
        <f aca="true" t="shared" si="13" ref="G133:H135">SUM(G134)</f>
        <v>0</v>
      </c>
      <c r="H133" s="140">
        <f t="shared" si="13"/>
        <v>0</v>
      </c>
      <c r="I133" s="40"/>
    </row>
    <row r="134" spans="1:9" ht="12.75">
      <c r="A134" s="39" t="s">
        <v>279</v>
      </c>
      <c r="B134" s="80" t="s">
        <v>278</v>
      </c>
      <c r="C134" s="82" t="s">
        <v>239</v>
      </c>
      <c r="D134" s="82" t="s">
        <v>271</v>
      </c>
      <c r="E134" s="81"/>
      <c r="F134" s="81"/>
      <c r="G134" s="39">
        <f t="shared" si="13"/>
        <v>0</v>
      </c>
      <c r="H134" s="141">
        <f t="shared" si="13"/>
        <v>0</v>
      </c>
      <c r="I134" s="39"/>
    </row>
    <row r="135" spans="1:9" ht="12.75">
      <c r="A135" s="41" t="s">
        <v>280</v>
      </c>
      <c r="B135" s="80" t="s">
        <v>278</v>
      </c>
      <c r="C135" s="82" t="s">
        <v>239</v>
      </c>
      <c r="D135" s="82" t="s">
        <v>271</v>
      </c>
      <c r="E135" s="82" t="s">
        <v>269</v>
      </c>
      <c r="F135" s="81"/>
      <c r="G135" s="39">
        <f t="shared" si="13"/>
        <v>0</v>
      </c>
      <c r="H135" s="141">
        <f t="shared" si="13"/>
        <v>0</v>
      </c>
      <c r="I135" s="39"/>
    </row>
    <row r="136" spans="1:9" ht="12.75">
      <c r="A136" s="41" t="s">
        <v>390</v>
      </c>
      <c r="B136" s="80" t="s">
        <v>278</v>
      </c>
      <c r="C136" s="82" t="s">
        <v>239</v>
      </c>
      <c r="D136" s="82" t="s">
        <v>271</v>
      </c>
      <c r="E136" s="82" t="s">
        <v>269</v>
      </c>
      <c r="F136" s="82" t="s">
        <v>391</v>
      </c>
      <c r="G136" s="39">
        <f>'5226100'!L13</f>
        <v>0</v>
      </c>
      <c r="H136" s="141">
        <f>'5226100'!N13</f>
        <v>0</v>
      </c>
      <c r="I136" s="39"/>
    </row>
    <row r="137" spans="1:9" ht="31.5" customHeight="1">
      <c r="A137" s="79" t="s">
        <v>230</v>
      </c>
      <c r="B137" s="80" t="s">
        <v>278</v>
      </c>
      <c r="C137" s="82" t="s">
        <v>231</v>
      </c>
      <c r="D137" s="39"/>
      <c r="E137" s="81"/>
      <c r="F137" s="81"/>
      <c r="G137" s="40">
        <f>SUM(G138)</f>
        <v>13367.6</v>
      </c>
      <c r="H137" s="140">
        <f>SUM(H138)</f>
        <v>1257</v>
      </c>
      <c r="I137" s="40">
        <f t="shared" si="11"/>
        <v>9.403333433076993</v>
      </c>
    </row>
    <row r="138" spans="1:9" ht="12.75">
      <c r="A138" s="39" t="s">
        <v>279</v>
      </c>
      <c r="B138" s="80" t="s">
        <v>278</v>
      </c>
      <c r="C138" s="82" t="s">
        <v>231</v>
      </c>
      <c r="D138" s="82" t="s">
        <v>271</v>
      </c>
      <c r="E138" s="81"/>
      <c r="F138" s="81"/>
      <c r="G138" s="39">
        <f>SUM(G139)</f>
        <v>13367.6</v>
      </c>
      <c r="H138" s="141">
        <f>SUM(H139)</f>
        <v>1257</v>
      </c>
      <c r="I138" s="39">
        <f t="shared" si="11"/>
        <v>9.403333433076993</v>
      </c>
    </row>
    <row r="139" spans="1:9" ht="12.75">
      <c r="A139" s="39" t="s">
        <v>282</v>
      </c>
      <c r="B139" s="80" t="s">
        <v>278</v>
      </c>
      <c r="C139" s="82" t="s">
        <v>231</v>
      </c>
      <c r="D139" s="82" t="s">
        <v>271</v>
      </c>
      <c r="E139" s="82" t="s">
        <v>263</v>
      </c>
      <c r="F139" s="82"/>
      <c r="G139" s="39">
        <f>SUM(G140+G141)</f>
        <v>13367.6</v>
      </c>
      <c r="H139" s="141">
        <f>SUM(H140+H141)</f>
        <v>1257</v>
      </c>
      <c r="I139" s="39">
        <f t="shared" si="11"/>
        <v>9.403333433076993</v>
      </c>
    </row>
    <row r="140" spans="1:9" ht="12.75">
      <c r="A140" s="41" t="s">
        <v>257</v>
      </c>
      <c r="B140" s="80" t="s">
        <v>278</v>
      </c>
      <c r="C140" s="82" t="s">
        <v>231</v>
      </c>
      <c r="D140" s="82" t="s">
        <v>271</v>
      </c>
      <c r="E140" s="82" t="s">
        <v>263</v>
      </c>
      <c r="F140" s="82" t="s">
        <v>258</v>
      </c>
      <c r="G140" s="39">
        <f>'5226100'!L22</f>
        <v>13165.4</v>
      </c>
      <c r="H140" s="141">
        <f>'5226100'!N22</f>
        <v>1054.8</v>
      </c>
      <c r="I140" s="39">
        <f t="shared" si="11"/>
        <v>8.011910006532274</v>
      </c>
    </row>
    <row r="141" spans="1:9" ht="12.75">
      <c r="A141" s="41" t="s">
        <v>240</v>
      </c>
      <c r="B141" s="80" t="s">
        <v>278</v>
      </c>
      <c r="C141" s="82" t="s">
        <v>231</v>
      </c>
      <c r="D141" s="82" t="s">
        <v>271</v>
      </c>
      <c r="E141" s="82" t="s">
        <v>263</v>
      </c>
      <c r="F141" s="82" t="s">
        <v>241</v>
      </c>
      <c r="G141" s="39">
        <f>SUM(G142)</f>
        <v>202.2</v>
      </c>
      <c r="H141" s="141">
        <f>SUM(H142)</f>
        <v>202.2</v>
      </c>
      <c r="I141" s="39">
        <f t="shared" si="11"/>
        <v>100</v>
      </c>
    </row>
    <row r="142" spans="1:9" ht="12.75">
      <c r="A142" s="85" t="s">
        <v>194</v>
      </c>
      <c r="B142" s="80" t="s">
        <v>278</v>
      </c>
      <c r="C142" s="82" t="s">
        <v>231</v>
      </c>
      <c r="D142" s="82" t="s">
        <v>271</v>
      </c>
      <c r="E142" s="82" t="s">
        <v>263</v>
      </c>
      <c r="F142" s="82" t="s">
        <v>241</v>
      </c>
      <c r="G142" s="39">
        <f>'5226100'!L29</f>
        <v>202.2</v>
      </c>
      <c r="H142" s="141">
        <f>'5226100'!N29</f>
        <v>202.2</v>
      </c>
      <c r="I142" s="39">
        <f t="shared" si="11"/>
        <v>100</v>
      </c>
    </row>
    <row r="143" spans="1:9" ht="27">
      <c r="A143" s="79" t="s">
        <v>337</v>
      </c>
      <c r="B143" s="80" t="s">
        <v>278</v>
      </c>
      <c r="C143" s="82" t="s">
        <v>281</v>
      </c>
      <c r="D143" s="39"/>
      <c r="E143" s="81"/>
      <c r="F143" s="81"/>
      <c r="G143" s="40">
        <f>SUM(G145+G150)</f>
        <v>36193.7</v>
      </c>
      <c r="H143" s="140">
        <f>SUM(H145+H150)</f>
        <v>30967.500000000004</v>
      </c>
      <c r="I143" s="40">
        <f t="shared" si="11"/>
        <v>85.5604704686175</v>
      </c>
    </row>
    <row r="144" spans="1:9" ht="12.75">
      <c r="A144" s="39" t="s">
        <v>279</v>
      </c>
      <c r="B144" s="80" t="s">
        <v>278</v>
      </c>
      <c r="C144" s="82" t="s">
        <v>281</v>
      </c>
      <c r="D144" s="82" t="s">
        <v>271</v>
      </c>
      <c r="E144" s="82"/>
      <c r="F144" s="82"/>
      <c r="G144" s="39">
        <f>SUM(G145+G150)</f>
        <v>36193.7</v>
      </c>
      <c r="H144" s="141">
        <f>SUM(H145+H150)</f>
        <v>30967.500000000004</v>
      </c>
      <c r="I144" s="39">
        <f t="shared" si="11"/>
        <v>85.5604704686175</v>
      </c>
    </row>
    <row r="145" spans="1:9" ht="12.75">
      <c r="A145" s="39" t="s">
        <v>282</v>
      </c>
      <c r="B145" s="80" t="s">
        <v>278</v>
      </c>
      <c r="C145" s="82" t="s">
        <v>281</v>
      </c>
      <c r="D145" s="82" t="s">
        <v>271</v>
      </c>
      <c r="E145" s="82" t="s">
        <v>263</v>
      </c>
      <c r="F145" s="81"/>
      <c r="G145" s="39">
        <f>SUM(G146+G147+G149)</f>
        <v>15203.8</v>
      </c>
      <c r="H145" s="141">
        <f>SUM(H146+H147+H149)</f>
        <v>11040.7</v>
      </c>
      <c r="I145" s="39">
        <f t="shared" si="11"/>
        <v>72.61802970310055</v>
      </c>
    </row>
    <row r="146" spans="1:9" ht="12.75">
      <c r="A146" s="39" t="s">
        <v>257</v>
      </c>
      <c r="B146" s="80" t="s">
        <v>278</v>
      </c>
      <c r="C146" s="82" t="s">
        <v>281</v>
      </c>
      <c r="D146" s="82" t="s">
        <v>271</v>
      </c>
      <c r="E146" s="82" t="s">
        <v>263</v>
      </c>
      <c r="F146" s="82" t="s">
        <v>258</v>
      </c>
      <c r="G146" s="39">
        <f>'5226100'!L36</f>
        <v>3199.5</v>
      </c>
      <c r="H146" s="141">
        <f>'5226100'!N36</f>
        <v>0</v>
      </c>
      <c r="I146" s="39">
        <f t="shared" si="11"/>
        <v>0</v>
      </c>
    </row>
    <row r="147" spans="1:9" ht="12.75">
      <c r="A147" s="41" t="s">
        <v>240</v>
      </c>
      <c r="B147" s="80" t="s">
        <v>278</v>
      </c>
      <c r="C147" s="82" t="s">
        <v>281</v>
      </c>
      <c r="D147" s="82" t="s">
        <v>271</v>
      </c>
      <c r="E147" s="82" t="s">
        <v>263</v>
      </c>
      <c r="F147" s="82" t="s">
        <v>241</v>
      </c>
      <c r="G147" s="39">
        <f>SUM(G148)</f>
        <v>12004.3</v>
      </c>
      <c r="H147" s="141">
        <f>SUM(H148)</f>
        <v>11040.7</v>
      </c>
      <c r="I147" s="39">
        <f t="shared" si="11"/>
        <v>91.97287638596171</v>
      </c>
    </row>
    <row r="148" spans="1:9" ht="12.75">
      <c r="A148" s="85" t="s">
        <v>194</v>
      </c>
      <c r="B148" s="80" t="s">
        <v>278</v>
      </c>
      <c r="C148" s="82" t="s">
        <v>281</v>
      </c>
      <c r="D148" s="82" t="s">
        <v>271</v>
      </c>
      <c r="E148" s="82" t="s">
        <v>263</v>
      </c>
      <c r="F148" s="82" t="s">
        <v>241</v>
      </c>
      <c r="G148" s="39">
        <f>'5226100'!L39</f>
        <v>12004.3</v>
      </c>
      <c r="H148" s="141">
        <f>'5226100'!N39</f>
        <v>11040.7</v>
      </c>
      <c r="I148" s="39">
        <f t="shared" si="11"/>
        <v>91.97287638596171</v>
      </c>
    </row>
    <row r="149" spans="1:9" ht="25.5">
      <c r="A149" s="85" t="s">
        <v>444</v>
      </c>
      <c r="B149" s="80" t="s">
        <v>278</v>
      </c>
      <c r="C149" s="82" t="s">
        <v>281</v>
      </c>
      <c r="D149" s="82" t="s">
        <v>271</v>
      </c>
      <c r="E149" s="82" t="s">
        <v>263</v>
      </c>
      <c r="F149" s="82" t="s">
        <v>400</v>
      </c>
      <c r="G149" s="39">
        <f>'5226100'!L58</f>
        <v>0</v>
      </c>
      <c r="H149" s="141">
        <f>'5226100'!N58</f>
        <v>0</v>
      </c>
      <c r="I149" s="39"/>
    </row>
    <row r="150" spans="1:9" ht="12.75">
      <c r="A150" s="91" t="s">
        <v>280</v>
      </c>
      <c r="B150" s="80" t="s">
        <v>278</v>
      </c>
      <c r="C150" s="82" t="s">
        <v>281</v>
      </c>
      <c r="D150" s="82" t="s">
        <v>271</v>
      </c>
      <c r="E150" s="82" t="s">
        <v>269</v>
      </c>
      <c r="F150" s="82"/>
      <c r="G150" s="39">
        <f>G151+G152</f>
        <v>20989.9</v>
      </c>
      <c r="H150" s="39">
        <f>H151+H152</f>
        <v>19926.800000000003</v>
      </c>
      <c r="I150" s="39">
        <f t="shared" si="11"/>
        <v>94.93518311187763</v>
      </c>
    </row>
    <row r="151" spans="1:9" ht="12.75">
      <c r="A151" s="85" t="s">
        <v>324</v>
      </c>
      <c r="B151" s="80" t="s">
        <v>278</v>
      </c>
      <c r="C151" s="82" t="s">
        <v>281</v>
      </c>
      <c r="D151" s="82" t="s">
        <v>271</v>
      </c>
      <c r="E151" s="82" t="s">
        <v>269</v>
      </c>
      <c r="F151" s="82" t="s">
        <v>276</v>
      </c>
      <c r="G151" s="39">
        <f>'5226100'!L60</f>
        <v>20260</v>
      </c>
      <c r="H151" s="141">
        <f>'5226100'!N60</f>
        <v>19386.9</v>
      </c>
      <c r="I151" s="39">
        <f t="shared" si="11"/>
        <v>95.69052319842054</v>
      </c>
    </row>
    <row r="152" spans="1:9" ht="12.75">
      <c r="A152" s="85" t="s">
        <v>248</v>
      </c>
      <c r="B152" s="80" t="s">
        <v>278</v>
      </c>
      <c r="C152" s="82" t="s">
        <v>281</v>
      </c>
      <c r="D152" s="82" t="s">
        <v>271</v>
      </c>
      <c r="E152" s="82" t="s">
        <v>269</v>
      </c>
      <c r="F152" s="82" t="s">
        <v>249</v>
      </c>
      <c r="G152" s="39">
        <f>'5226100'!L65</f>
        <v>729.9</v>
      </c>
      <c r="H152" s="141">
        <f>'5226100'!N65</f>
        <v>539.9</v>
      </c>
      <c r="I152" s="39">
        <f t="shared" si="11"/>
        <v>73.96903685436361</v>
      </c>
    </row>
    <row r="153" spans="1:9" ht="62.25" customHeight="1">
      <c r="A153" s="42" t="s">
        <v>445</v>
      </c>
      <c r="B153" s="77" t="s">
        <v>446</v>
      </c>
      <c r="C153" s="87"/>
      <c r="D153" s="40"/>
      <c r="E153" s="87"/>
      <c r="F153" s="87"/>
      <c r="G153" s="40">
        <f aca="true" t="shared" si="14" ref="G153:H156">G154</f>
        <v>8730</v>
      </c>
      <c r="H153" s="40">
        <f t="shared" si="14"/>
        <v>0</v>
      </c>
      <c r="I153" s="39">
        <f t="shared" si="11"/>
        <v>0</v>
      </c>
    </row>
    <row r="154" spans="1:9" ht="30" customHeight="1">
      <c r="A154" s="79" t="s">
        <v>230</v>
      </c>
      <c r="B154" s="39" t="s">
        <v>446</v>
      </c>
      <c r="C154" s="80" t="s">
        <v>231</v>
      </c>
      <c r="D154" s="39"/>
      <c r="E154" s="81"/>
      <c r="F154" s="81"/>
      <c r="G154" s="273">
        <f t="shared" si="14"/>
        <v>8730</v>
      </c>
      <c r="H154" s="273">
        <f t="shared" si="14"/>
        <v>0</v>
      </c>
      <c r="I154" s="39">
        <f t="shared" si="11"/>
        <v>0</v>
      </c>
    </row>
    <row r="155" spans="1:9" ht="12.75">
      <c r="A155" s="39" t="s">
        <v>264</v>
      </c>
      <c r="B155" s="39" t="s">
        <v>446</v>
      </c>
      <c r="C155" s="80" t="s">
        <v>231</v>
      </c>
      <c r="D155" s="82" t="s">
        <v>263</v>
      </c>
      <c r="E155" s="81"/>
      <c r="F155" s="81"/>
      <c r="G155" s="273">
        <f t="shared" si="14"/>
        <v>8730</v>
      </c>
      <c r="H155" s="273">
        <f t="shared" si="14"/>
        <v>0</v>
      </c>
      <c r="I155" s="39">
        <f t="shared" si="11"/>
        <v>0</v>
      </c>
    </row>
    <row r="156" spans="1:9" ht="12.75">
      <c r="A156" s="39" t="s">
        <v>265</v>
      </c>
      <c r="B156" s="39" t="s">
        <v>446</v>
      </c>
      <c r="C156" s="80" t="s">
        <v>231</v>
      </c>
      <c r="D156" s="82" t="s">
        <v>263</v>
      </c>
      <c r="E156" s="82" t="s">
        <v>256</v>
      </c>
      <c r="F156" s="81"/>
      <c r="G156" s="273">
        <f t="shared" si="14"/>
        <v>8730</v>
      </c>
      <c r="H156" s="273">
        <f t="shared" si="14"/>
        <v>0</v>
      </c>
      <c r="I156" s="39">
        <f t="shared" si="11"/>
        <v>0</v>
      </c>
    </row>
    <row r="157" spans="1:9" ht="12.75">
      <c r="A157" s="41" t="s">
        <v>299</v>
      </c>
      <c r="B157" s="39" t="s">
        <v>446</v>
      </c>
      <c r="C157" s="80" t="s">
        <v>231</v>
      </c>
      <c r="D157" s="82" t="s">
        <v>263</v>
      </c>
      <c r="E157" s="82" t="s">
        <v>256</v>
      </c>
      <c r="F157" s="82" t="s">
        <v>241</v>
      </c>
      <c r="G157" s="273">
        <f>G158+G159</f>
        <v>8730</v>
      </c>
      <c r="H157" s="273">
        <f>H158+H159</f>
        <v>0</v>
      </c>
      <c r="I157" s="39">
        <f t="shared" si="11"/>
        <v>0</v>
      </c>
    </row>
    <row r="158" spans="1:9" ht="12.75">
      <c r="A158" s="1" t="s">
        <v>463</v>
      </c>
      <c r="B158" s="39" t="s">
        <v>446</v>
      </c>
      <c r="C158" s="80" t="s">
        <v>231</v>
      </c>
      <c r="D158" s="82" t="s">
        <v>263</v>
      </c>
      <c r="E158" s="82" t="s">
        <v>256</v>
      </c>
      <c r="F158" s="82" t="s">
        <v>241</v>
      </c>
      <c r="G158" s="273">
        <f>'5226600'!J13</f>
        <v>0</v>
      </c>
      <c r="H158" s="273">
        <f>'5226600'!L13</f>
        <v>0</v>
      </c>
      <c r="I158" s="39"/>
    </row>
    <row r="159" spans="1:9" ht="12.75">
      <c r="A159" s="41" t="s">
        <v>242</v>
      </c>
      <c r="B159" s="39" t="s">
        <v>446</v>
      </c>
      <c r="C159" s="80" t="s">
        <v>231</v>
      </c>
      <c r="D159" s="82" t="s">
        <v>263</v>
      </c>
      <c r="E159" s="82" t="s">
        <v>256</v>
      </c>
      <c r="F159" s="82" t="s">
        <v>241</v>
      </c>
      <c r="G159" s="273">
        <f>'5226600'!J16</f>
        <v>8730</v>
      </c>
      <c r="H159" s="273">
        <f>'5226600'!L16</f>
        <v>0</v>
      </c>
      <c r="I159" s="39">
        <f t="shared" si="11"/>
        <v>0</v>
      </c>
    </row>
  </sheetData>
  <sheetProtection/>
  <mergeCells count="2">
    <mergeCell ref="A2:H2"/>
    <mergeCell ref="H1:I1"/>
  </mergeCells>
  <printOptions/>
  <pageMargins left="1.1811023622047245" right="0.1968503937007874" top="0.5905511811023623" bottom="0.5905511811023623" header="0.5118110236220472" footer="0.11811023622047245"/>
  <pageSetup fitToHeight="23" fitToWidth="1" horizontalDpi="600" verticalDpi="600" orientation="portrait" paperSize="9" scale="63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R27"/>
  <sheetViews>
    <sheetView workbookViewId="0" topLeftCell="A1">
      <selection activeCell="U27" sqref="U27"/>
    </sheetView>
  </sheetViews>
  <sheetFormatPr defaultColWidth="9.00390625" defaultRowHeight="12.75"/>
  <cols>
    <col min="1" max="1" width="36.25390625" style="0" customWidth="1"/>
    <col min="3" max="3" width="4.25390625" style="0" customWidth="1"/>
    <col min="4" max="5" width="3.375" style="0" customWidth="1"/>
    <col min="6" max="6" width="4.125" style="0" customWidth="1"/>
    <col min="7" max="8" width="10.625" style="0" customWidth="1"/>
    <col min="9" max="9" width="9.625" style="0" bestFit="1" customWidth="1"/>
    <col min="10" max="10" width="10.875" style="0" customWidth="1"/>
    <col min="11" max="11" width="10.25390625" style="0" customWidth="1"/>
    <col min="12" max="12" width="10.125" style="0" customWidth="1"/>
    <col min="13" max="13" width="9.75390625" style="0" customWidth="1"/>
    <col min="14" max="14" width="10.125" style="0" customWidth="1"/>
    <col min="15" max="15" width="10.00390625" style="0" customWidth="1"/>
    <col min="16" max="16" width="9.625" style="0" customWidth="1"/>
    <col min="17" max="17" width="5.125" style="0" customWidth="1"/>
    <col min="18" max="18" width="5.00390625" style="0" customWidth="1"/>
  </cols>
  <sheetData>
    <row r="1" spans="1:18" ht="14.25">
      <c r="A1" s="1"/>
      <c r="B1" s="1"/>
      <c r="C1" s="2"/>
      <c r="D1" s="1"/>
      <c r="E1" s="2"/>
      <c r="F1" s="2"/>
      <c r="G1" s="1"/>
      <c r="H1" s="21" t="s">
        <v>307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>
      <c r="A2" s="1"/>
      <c r="B2" s="1"/>
      <c r="C2" s="2"/>
      <c r="D2" s="1"/>
      <c r="E2" s="2"/>
      <c r="F2" s="2"/>
      <c r="G2" s="1"/>
      <c r="H2" s="21" t="s">
        <v>461</v>
      </c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>
      <c r="A3" s="1"/>
      <c r="B3" s="1"/>
      <c r="C3" s="2"/>
      <c r="D3" s="1"/>
      <c r="E3" s="2"/>
      <c r="F3" s="2"/>
      <c r="G3" s="1"/>
      <c r="H3" s="21" t="s">
        <v>462</v>
      </c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>
      <c r="A4" s="1"/>
      <c r="B4" s="1"/>
      <c r="C4" s="2"/>
      <c r="D4" s="1"/>
      <c r="E4" s="2"/>
      <c r="F4" s="2"/>
      <c r="G4" s="1"/>
      <c r="H4" s="21" t="s">
        <v>152</v>
      </c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0.25" customHeight="1">
      <c r="A5" s="173"/>
      <c r="B5" s="636" t="s">
        <v>213</v>
      </c>
      <c r="C5" s="636" t="s">
        <v>214</v>
      </c>
      <c r="D5" s="636" t="s">
        <v>215</v>
      </c>
      <c r="E5" s="636" t="s">
        <v>216</v>
      </c>
      <c r="F5" s="636" t="s">
        <v>218</v>
      </c>
      <c r="G5" s="648" t="s">
        <v>300</v>
      </c>
      <c r="H5" s="649"/>
      <c r="I5" s="650"/>
      <c r="J5" s="595" t="s">
        <v>150</v>
      </c>
      <c r="K5" s="648" t="s">
        <v>301</v>
      </c>
      <c r="L5" s="649"/>
      <c r="M5" s="650"/>
      <c r="N5" s="648" t="s">
        <v>302</v>
      </c>
      <c r="O5" s="649"/>
      <c r="P5" s="650"/>
      <c r="Q5" s="702" t="s">
        <v>339</v>
      </c>
      <c r="R5" s="702" t="s">
        <v>290</v>
      </c>
    </row>
    <row r="6" spans="1:18" ht="12.75">
      <c r="A6" s="174"/>
      <c r="B6" s="637"/>
      <c r="C6" s="637"/>
      <c r="D6" s="637"/>
      <c r="E6" s="637"/>
      <c r="F6" s="637"/>
      <c r="G6" s="634" t="s">
        <v>304</v>
      </c>
      <c r="H6" s="714" t="s">
        <v>60</v>
      </c>
      <c r="I6" s="715"/>
      <c r="J6" s="596"/>
      <c r="K6" s="634" t="s">
        <v>304</v>
      </c>
      <c r="L6" s="714" t="s">
        <v>60</v>
      </c>
      <c r="M6" s="715"/>
      <c r="N6" s="634" t="s">
        <v>304</v>
      </c>
      <c r="O6" s="714" t="s">
        <v>60</v>
      </c>
      <c r="P6" s="715"/>
      <c r="Q6" s="703"/>
      <c r="R6" s="703"/>
    </row>
    <row r="7" spans="1:18" ht="22.5">
      <c r="A7" s="175"/>
      <c r="B7" s="638"/>
      <c r="C7" s="638"/>
      <c r="D7" s="638"/>
      <c r="E7" s="638"/>
      <c r="F7" s="638"/>
      <c r="G7" s="635"/>
      <c r="H7" s="53" t="s">
        <v>305</v>
      </c>
      <c r="I7" s="127" t="s">
        <v>306</v>
      </c>
      <c r="J7" s="597"/>
      <c r="K7" s="635"/>
      <c r="L7" s="53" t="s">
        <v>305</v>
      </c>
      <c r="M7" s="127" t="s">
        <v>306</v>
      </c>
      <c r="N7" s="635"/>
      <c r="O7" s="53" t="s">
        <v>305</v>
      </c>
      <c r="P7" s="127" t="s">
        <v>306</v>
      </c>
      <c r="Q7" s="704"/>
      <c r="R7" s="704"/>
    </row>
    <row r="8" spans="1:18" s="177" customFormat="1" ht="20.25" customHeight="1">
      <c r="A8" s="44" t="s">
        <v>310</v>
      </c>
      <c r="B8" s="40" t="s">
        <v>446</v>
      </c>
      <c r="C8" s="87"/>
      <c r="D8" s="40"/>
      <c r="E8" s="87"/>
      <c r="F8" s="87"/>
      <c r="G8" s="114">
        <f>SUM(G9+G72+G79)</f>
        <v>25653.6</v>
      </c>
      <c r="H8" s="132">
        <f>SUM(H9+H72+H79)</f>
        <v>25653.6</v>
      </c>
      <c r="I8" s="114">
        <f>SUM(I9+I72+I79)</f>
        <v>0</v>
      </c>
      <c r="J8" s="132">
        <f>SUM(J9+J72+J79)</f>
        <v>8730</v>
      </c>
      <c r="K8" s="114">
        <f>SUM(K9+K72)</f>
        <v>0</v>
      </c>
      <c r="L8" s="132">
        <f>SUM(L9+L72+L79)</f>
        <v>0</v>
      </c>
      <c r="M8" s="114">
        <f>SUM(M9+M72)</f>
        <v>0</v>
      </c>
      <c r="N8" s="114">
        <f>SUM(N9+N72)</f>
        <v>0</v>
      </c>
      <c r="O8" s="132">
        <f>SUM(O9+O72)</f>
        <v>0</v>
      </c>
      <c r="P8" s="114">
        <f>SUM(P9+P72)</f>
        <v>0</v>
      </c>
      <c r="Q8" s="40">
        <f>L8/H8*100</f>
        <v>0</v>
      </c>
      <c r="R8" s="40">
        <v>0</v>
      </c>
    </row>
    <row r="9" spans="1:18" ht="44.25" customHeight="1">
      <c r="A9" s="79" t="s">
        <v>230</v>
      </c>
      <c r="B9" s="39" t="s">
        <v>446</v>
      </c>
      <c r="C9" s="80" t="s">
        <v>231</v>
      </c>
      <c r="D9" s="39"/>
      <c r="E9" s="81"/>
      <c r="F9" s="81"/>
      <c r="G9" s="114">
        <f aca="true" t="shared" si="0" ref="G9:M9">SUM(G10+G66)</f>
        <v>25653.6</v>
      </c>
      <c r="H9" s="132">
        <f t="shared" si="0"/>
        <v>25653.6</v>
      </c>
      <c r="I9" s="114">
        <f t="shared" si="0"/>
        <v>0</v>
      </c>
      <c r="J9" s="132">
        <f t="shared" si="0"/>
        <v>8730</v>
      </c>
      <c r="K9" s="114">
        <f t="shared" si="0"/>
        <v>0</v>
      </c>
      <c r="L9" s="132">
        <f t="shared" si="0"/>
        <v>0</v>
      </c>
      <c r="M9" s="114">
        <f t="shared" si="0"/>
        <v>0</v>
      </c>
      <c r="N9" s="114">
        <f>SUM(N10)</f>
        <v>0</v>
      </c>
      <c r="O9" s="132">
        <f>SUM(O10)</f>
        <v>0</v>
      </c>
      <c r="P9" s="114">
        <f>SUM(P10+P66)</f>
        <v>0</v>
      </c>
      <c r="Q9" s="40">
        <f>L9/H9*100</f>
        <v>0</v>
      </c>
      <c r="R9" s="40">
        <v>0</v>
      </c>
    </row>
    <row r="10" spans="1:18" ht="16.5" customHeight="1">
      <c r="A10" s="39" t="s">
        <v>264</v>
      </c>
      <c r="B10" s="39" t="s">
        <v>446</v>
      </c>
      <c r="C10" s="80" t="s">
        <v>231</v>
      </c>
      <c r="D10" s="82" t="s">
        <v>263</v>
      </c>
      <c r="E10" s="81"/>
      <c r="F10" s="81"/>
      <c r="G10" s="110">
        <f aca="true" t="shared" si="1" ref="G10:L10">SUM(G11)</f>
        <v>25653.6</v>
      </c>
      <c r="H10" s="130">
        <f t="shared" si="1"/>
        <v>25653.6</v>
      </c>
      <c r="I10" s="110">
        <f t="shared" si="1"/>
        <v>0</v>
      </c>
      <c r="J10" s="130">
        <f t="shared" si="1"/>
        <v>8730</v>
      </c>
      <c r="K10" s="110">
        <f t="shared" si="1"/>
        <v>0</v>
      </c>
      <c r="L10" s="130">
        <f t="shared" si="1"/>
        <v>0</v>
      </c>
      <c r="M10" s="110">
        <f>SUM(M11)</f>
        <v>0</v>
      </c>
      <c r="N10" s="110">
        <f>SUM(N11)</f>
        <v>0</v>
      </c>
      <c r="O10" s="130">
        <f>SUM(O11)</f>
        <v>0</v>
      </c>
      <c r="P10" s="110">
        <f>SUM(P11)</f>
        <v>0</v>
      </c>
      <c r="Q10" s="39"/>
      <c r="R10" s="39"/>
    </row>
    <row r="11" spans="1:18" ht="12.75">
      <c r="A11" s="39" t="s">
        <v>265</v>
      </c>
      <c r="B11" s="39" t="s">
        <v>446</v>
      </c>
      <c r="C11" s="80" t="s">
        <v>231</v>
      </c>
      <c r="D11" s="82" t="s">
        <v>263</v>
      </c>
      <c r="E11" s="82" t="s">
        <v>256</v>
      </c>
      <c r="F11" s="81"/>
      <c r="G11" s="110">
        <f aca="true" t="shared" si="2" ref="G11:P11">G12</f>
        <v>25653.6</v>
      </c>
      <c r="H11" s="130">
        <f t="shared" si="2"/>
        <v>25653.6</v>
      </c>
      <c r="I11" s="110">
        <f t="shared" si="2"/>
        <v>0</v>
      </c>
      <c r="J11" s="130">
        <f t="shared" si="2"/>
        <v>8730</v>
      </c>
      <c r="K11" s="110">
        <f t="shared" si="2"/>
        <v>0</v>
      </c>
      <c r="L11" s="130">
        <f t="shared" si="2"/>
        <v>0</v>
      </c>
      <c r="M11" s="110">
        <f t="shared" si="2"/>
        <v>0</v>
      </c>
      <c r="N11" s="110">
        <f t="shared" si="2"/>
        <v>0</v>
      </c>
      <c r="O11" s="130">
        <f t="shared" si="2"/>
        <v>0</v>
      </c>
      <c r="P11" s="110">
        <f t="shared" si="2"/>
        <v>0</v>
      </c>
      <c r="Q11" s="39"/>
      <c r="R11" s="39"/>
    </row>
    <row r="12" spans="1:18" ht="17.25" customHeight="1">
      <c r="A12" s="41" t="s">
        <v>299</v>
      </c>
      <c r="B12" s="39" t="s">
        <v>446</v>
      </c>
      <c r="C12" s="80" t="s">
        <v>231</v>
      </c>
      <c r="D12" s="82" t="s">
        <v>263</v>
      </c>
      <c r="E12" s="82" t="s">
        <v>256</v>
      </c>
      <c r="F12" s="82" t="s">
        <v>241</v>
      </c>
      <c r="G12" s="39">
        <f>H12+I12</f>
        <v>25653.6</v>
      </c>
      <c r="H12" s="130">
        <f>H13+H16</f>
        <v>25653.6</v>
      </c>
      <c r="I12" s="110">
        <f>I13+I16</f>
        <v>0</v>
      </c>
      <c r="J12" s="130">
        <f>J13+J16</f>
        <v>8730</v>
      </c>
      <c r="K12" s="39">
        <f>L12+M12</f>
        <v>0</v>
      </c>
      <c r="L12" s="130">
        <f>L13+L16</f>
        <v>0</v>
      </c>
      <c r="M12" s="110">
        <f>M13+M16</f>
        <v>0</v>
      </c>
      <c r="N12" s="39">
        <f>O12+P12</f>
        <v>0</v>
      </c>
      <c r="O12" s="130">
        <f>O13+O16</f>
        <v>0</v>
      </c>
      <c r="P12" s="110">
        <f>P13+P16</f>
        <v>0</v>
      </c>
      <c r="Q12" s="39">
        <f>L12/H12*100</f>
        <v>0</v>
      </c>
      <c r="R12" s="39">
        <v>0</v>
      </c>
    </row>
    <row r="13" spans="1:18" s="233" customFormat="1" ht="25.5">
      <c r="A13" s="239" t="s">
        <v>447</v>
      </c>
      <c r="B13" s="112"/>
      <c r="C13" s="240"/>
      <c r="D13" s="156"/>
      <c r="E13" s="156"/>
      <c r="F13" s="156"/>
      <c r="G13" s="241">
        <f>H13+I13</f>
        <v>288.1</v>
      </c>
      <c r="H13" s="242">
        <f aca="true" t="shared" si="3" ref="H13:J14">H14</f>
        <v>288.1</v>
      </c>
      <c r="I13" s="241">
        <f t="shared" si="3"/>
        <v>0</v>
      </c>
      <c r="J13" s="242">
        <f t="shared" si="3"/>
        <v>0</v>
      </c>
      <c r="K13" s="241">
        <f>L13+M13</f>
        <v>0</v>
      </c>
      <c r="L13" s="242">
        <f>L14</f>
        <v>0</v>
      </c>
      <c r="M13" s="241">
        <f>M14</f>
        <v>0</v>
      </c>
      <c r="N13" s="241">
        <f>O13+P13</f>
        <v>0</v>
      </c>
      <c r="O13" s="242">
        <f>O14</f>
        <v>0</v>
      </c>
      <c r="P13" s="241">
        <f>P14</f>
        <v>0</v>
      </c>
      <c r="Q13" s="39">
        <f>L13/H13*100</f>
        <v>0</v>
      </c>
      <c r="R13" s="39">
        <v>0</v>
      </c>
    </row>
    <row r="14" spans="1:18" s="235" customFormat="1" ht="12.75">
      <c r="A14" s="243" t="s">
        <v>448</v>
      </c>
      <c r="B14" s="244"/>
      <c r="C14" s="245"/>
      <c r="D14" s="246"/>
      <c r="E14" s="246"/>
      <c r="F14" s="246"/>
      <c r="G14" s="244"/>
      <c r="H14" s="247">
        <f t="shared" si="3"/>
        <v>288.1</v>
      </c>
      <c r="I14" s="112">
        <f t="shared" si="3"/>
        <v>0</v>
      </c>
      <c r="J14" s="247">
        <f t="shared" si="3"/>
        <v>0</v>
      </c>
      <c r="K14" s="112"/>
      <c r="L14" s="247">
        <f>L15</f>
        <v>0</v>
      </c>
      <c r="M14" s="112">
        <f>M15</f>
        <v>0</v>
      </c>
      <c r="N14" s="248"/>
      <c r="O14" s="247">
        <f>O15</f>
        <v>0</v>
      </c>
      <c r="P14" s="112">
        <f>P15</f>
        <v>0</v>
      </c>
      <c r="Q14" s="244"/>
      <c r="R14" s="244"/>
    </row>
    <row r="15" spans="1:18" s="235" customFormat="1" ht="24">
      <c r="A15" s="249" t="s">
        <v>455</v>
      </c>
      <c r="B15" s="244"/>
      <c r="C15" s="245"/>
      <c r="D15" s="246"/>
      <c r="E15" s="246"/>
      <c r="F15" s="246"/>
      <c r="G15" s="244"/>
      <c r="H15" s="250">
        <v>288.1</v>
      </c>
      <c r="I15" s="244">
        <v>0</v>
      </c>
      <c r="J15" s="250">
        <v>0</v>
      </c>
      <c r="K15" s="244"/>
      <c r="L15" s="250">
        <v>0</v>
      </c>
      <c r="M15" s="244">
        <v>0</v>
      </c>
      <c r="N15" s="251"/>
      <c r="O15" s="250">
        <v>0</v>
      </c>
      <c r="P15" s="244">
        <v>0</v>
      </c>
      <c r="Q15" s="244"/>
      <c r="R15" s="244"/>
    </row>
    <row r="16" spans="1:18" s="237" customFormat="1" ht="28.5" customHeight="1">
      <c r="A16" s="252" t="s">
        <v>449</v>
      </c>
      <c r="B16" s="241"/>
      <c r="C16" s="253"/>
      <c r="D16" s="254"/>
      <c r="E16" s="254"/>
      <c r="F16" s="254"/>
      <c r="G16" s="241">
        <f>H16+I16</f>
        <v>25365.5</v>
      </c>
      <c r="H16" s="242">
        <f>H17+H18+H19+H20+H21</f>
        <v>25365.5</v>
      </c>
      <c r="I16" s="241">
        <f>I17+I18+I19+I20+I21</f>
        <v>0</v>
      </c>
      <c r="J16" s="242">
        <f>J17+J18+J19+J20+J21</f>
        <v>8730</v>
      </c>
      <c r="K16" s="241">
        <f>L16+M16</f>
        <v>0</v>
      </c>
      <c r="L16" s="242">
        <f>L17+L18+L19+L20+L21</f>
        <v>0</v>
      </c>
      <c r="M16" s="241">
        <f>M17+M18+M19+M20+M21</f>
        <v>0</v>
      </c>
      <c r="N16" s="241">
        <f>O16+P16</f>
        <v>0</v>
      </c>
      <c r="O16" s="242">
        <f>O17+O18+O19+O20+O21</f>
        <v>0</v>
      </c>
      <c r="P16" s="241">
        <f>P17+P18+P19+P20+P21</f>
        <v>0</v>
      </c>
      <c r="Q16" s="39">
        <f>L16/H16*100</f>
        <v>0</v>
      </c>
      <c r="R16" s="39">
        <v>0</v>
      </c>
    </row>
    <row r="17" spans="1:18" s="236" customFormat="1" ht="38.25" customHeight="1">
      <c r="A17" s="255" t="s">
        <v>450</v>
      </c>
      <c r="B17" s="256"/>
      <c r="C17" s="256"/>
      <c r="D17" s="256"/>
      <c r="E17" s="257"/>
      <c r="F17" s="257"/>
      <c r="G17" s="256"/>
      <c r="H17" s="258">
        <v>1455</v>
      </c>
      <c r="I17" s="259">
        <v>0</v>
      </c>
      <c r="J17" s="258">
        <v>0</v>
      </c>
      <c r="K17" s="259">
        <v>0</v>
      </c>
      <c r="L17" s="258">
        <v>0</v>
      </c>
      <c r="M17" s="259">
        <v>0</v>
      </c>
      <c r="N17" s="259"/>
      <c r="O17" s="258">
        <v>0</v>
      </c>
      <c r="P17" s="259">
        <v>0</v>
      </c>
      <c r="Q17" s="256"/>
      <c r="R17" s="256"/>
    </row>
    <row r="18" spans="1:18" s="236" customFormat="1" ht="38.25" customHeight="1">
      <c r="A18" s="255" t="s">
        <v>451</v>
      </c>
      <c r="B18" s="256"/>
      <c r="C18" s="256"/>
      <c r="D18" s="256"/>
      <c r="E18" s="257"/>
      <c r="F18" s="257"/>
      <c r="G18" s="256"/>
      <c r="H18" s="258">
        <v>1455</v>
      </c>
      <c r="I18" s="259">
        <v>0</v>
      </c>
      <c r="J18" s="258">
        <v>0</v>
      </c>
      <c r="K18" s="259">
        <v>0</v>
      </c>
      <c r="L18" s="258">
        <v>0</v>
      </c>
      <c r="M18" s="259">
        <v>0</v>
      </c>
      <c r="N18" s="259"/>
      <c r="O18" s="258">
        <v>0</v>
      </c>
      <c r="P18" s="259">
        <v>0</v>
      </c>
      <c r="Q18" s="256"/>
      <c r="R18" s="256"/>
    </row>
    <row r="19" spans="1:18" s="236" customFormat="1" ht="38.25">
      <c r="A19" s="255" t="s">
        <v>452</v>
      </c>
      <c r="B19" s="256"/>
      <c r="C19" s="256"/>
      <c r="D19" s="256"/>
      <c r="E19" s="257"/>
      <c r="F19" s="257"/>
      <c r="G19" s="256"/>
      <c r="H19" s="258">
        <v>1455</v>
      </c>
      <c r="I19" s="259">
        <v>0</v>
      </c>
      <c r="J19" s="258">
        <v>0</v>
      </c>
      <c r="K19" s="259">
        <v>0</v>
      </c>
      <c r="L19" s="258">
        <v>0</v>
      </c>
      <c r="M19" s="259">
        <v>0</v>
      </c>
      <c r="N19" s="259"/>
      <c r="O19" s="258">
        <v>0</v>
      </c>
      <c r="P19" s="259">
        <v>0</v>
      </c>
      <c r="Q19" s="256"/>
      <c r="R19" s="256"/>
    </row>
    <row r="20" spans="1:18" s="236" customFormat="1" ht="38.25">
      <c r="A20" s="255" t="s">
        <v>453</v>
      </c>
      <c r="B20" s="256"/>
      <c r="C20" s="256"/>
      <c r="D20" s="256"/>
      <c r="E20" s="257"/>
      <c r="F20" s="257"/>
      <c r="G20" s="256"/>
      <c r="H20" s="260">
        <v>1212.5</v>
      </c>
      <c r="I20" s="259">
        <v>0</v>
      </c>
      <c r="J20" s="258">
        <v>0</v>
      </c>
      <c r="K20" s="259">
        <v>0</v>
      </c>
      <c r="L20" s="258">
        <v>0</v>
      </c>
      <c r="M20" s="259">
        <v>0</v>
      </c>
      <c r="N20" s="259"/>
      <c r="O20" s="258">
        <v>0</v>
      </c>
      <c r="P20" s="259">
        <v>0</v>
      </c>
      <c r="Q20" s="256"/>
      <c r="R20" s="256"/>
    </row>
    <row r="21" spans="1:18" s="236" customFormat="1" ht="12.75">
      <c r="A21" s="255" t="s">
        <v>454</v>
      </c>
      <c r="B21" s="261"/>
      <c r="C21" s="261"/>
      <c r="D21" s="261"/>
      <c r="E21" s="262"/>
      <c r="F21" s="262"/>
      <c r="G21" s="261"/>
      <c r="H21" s="258">
        <f>H22+H23+H24+H25+H26</f>
        <v>19788</v>
      </c>
      <c r="I21" s="259">
        <f>I22+I23+I24+I25+I26</f>
        <v>0</v>
      </c>
      <c r="J21" s="258">
        <v>8730</v>
      </c>
      <c r="K21" s="259">
        <v>0</v>
      </c>
      <c r="L21" s="258">
        <v>0</v>
      </c>
      <c r="M21" s="259">
        <f>M22+M23+M24+M25+M26</f>
        <v>0</v>
      </c>
      <c r="N21" s="259"/>
      <c r="O21" s="258">
        <v>0</v>
      </c>
      <c r="P21" s="259">
        <f>P22+P23+P24+P25+P26</f>
        <v>0</v>
      </c>
      <c r="Q21" s="259"/>
      <c r="R21" s="259"/>
    </row>
    <row r="22" spans="1:18" s="238" customFormat="1" ht="38.25">
      <c r="A22" s="263" t="s">
        <v>456</v>
      </c>
      <c r="B22" s="264"/>
      <c r="C22" s="246"/>
      <c r="D22" s="246"/>
      <c r="E22" s="246"/>
      <c r="F22" s="246"/>
      <c r="G22" s="251"/>
      <c r="H22" s="250">
        <v>2910</v>
      </c>
      <c r="I22" s="251">
        <v>0</v>
      </c>
      <c r="J22" s="250">
        <v>2910</v>
      </c>
      <c r="K22" s="251"/>
      <c r="L22" s="265">
        <v>0</v>
      </c>
      <c r="M22" s="266">
        <v>0</v>
      </c>
      <c r="N22" s="266"/>
      <c r="O22" s="265"/>
      <c r="P22" s="266">
        <v>0</v>
      </c>
      <c r="Q22" s="267"/>
      <c r="R22" s="267"/>
    </row>
    <row r="23" spans="1:18" s="238" customFormat="1" ht="25.5">
      <c r="A23" s="263" t="s">
        <v>457</v>
      </c>
      <c r="B23" s="264"/>
      <c r="C23" s="246"/>
      <c r="D23" s="246"/>
      <c r="E23" s="246"/>
      <c r="F23" s="268"/>
      <c r="G23" s="251"/>
      <c r="H23" s="250">
        <v>5820</v>
      </c>
      <c r="I23" s="251">
        <v>0</v>
      </c>
      <c r="J23" s="250">
        <v>5820</v>
      </c>
      <c r="K23" s="251"/>
      <c r="L23" s="265">
        <v>0</v>
      </c>
      <c r="M23" s="266">
        <v>0</v>
      </c>
      <c r="N23" s="266"/>
      <c r="O23" s="265"/>
      <c r="P23" s="266">
        <v>0</v>
      </c>
      <c r="Q23" s="267"/>
      <c r="R23" s="267"/>
    </row>
    <row r="24" spans="1:18" s="238" customFormat="1" ht="38.25">
      <c r="A24" s="263" t="s">
        <v>458</v>
      </c>
      <c r="B24" s="264"/>
      <c r="C24" s="246"/>
      <c r="D24" s="246"/>
      <c r="E24" s="246"/>
      <c r="F24" s="246"/>
      <c r="G24" s="251"/>
      <c r="H24" s="250">
        <v>6305</v>
      </c>
      <c r="I24" s="251">
        <v>0</v>
      </c>
      <c r="J24" s="250">
        <v>0</v>
      </c>
      <c r="K24" s="251"/>
      <c r="L24" s="265">
        <v>0</v>
      </c>
      <c r="M24" s="266">
        <v>0</v>
      </c>
      <c r="N24" s="266"/>
      <c r="O24" s="265"/>
      <c r="P24" s="266">
        <v>0</v>
      </c>
      <c r="Q24" s="267"/>
      <c r="R24" s="267"/>
    </row>
    <row r="25" spans="1:18" s="238" customFormat="1" ht="38.25">
      <c r="A25" s="263" t="s">
        <v>459</v>
      </c>
      <c r="B25" s="264"/>
      <c r="C25" s="246"/>
      <c r="D25" s="246"/>
      <c r="E25" s="246"/>
      <c r="F25" s="246"/>
      <c r="G25" s="251"/>
      <c r="H25" s="250">
        <v>1455</v>
      </c>
      <c r="I25" s="251">
        <v>0</v>
      </c>
      <c r="J25" s="250">
        <v>0</v>
      </c>
      <c r="K25" s="251"/>
      <c r="L25" s="265">
        <v>0</v>
      </c>
      <c r="M25" s="266">
        <v>0</v>
      </c>
      <c r="N25" s="266"/>
      <c r="O25" s="265"/>
      <c r="P25" s="266">
        <v>0</v>
      </c>
      <c r="Q25" s="267"/>
      <c r="R25" s="267"/>
    </row>
    <row r="26" spans="1:18" s="238" customFormat="1" ht="25.5">
      <c r="A26" s="263" t="s">
        <v>460</v>
      </c>
      <c r="B26" s="264"/>
      <c r="C26" s="246"/>
      <c r="D26" s="246"/>
      <c r="E26" s="246"/>
      <c r="F26" s="246"/>
      <c r="G26" s="251"/>
      <c r="H26" s="250">
        <v>3298</v>
      </c>
      <c r="I26" s="251">
        <v>0</v>
      </c>
      <c r="J26" s="250">
        <v>0</v>
      </c>
      <c r="K26" s="251"/>
      <c r="L26" s="265">
        <v>0</v>
      </c>
      <c r="M26" s="266">
        <v>0</v>
      </c>
      <c r="N26" s="266"/>
      <c r="O26" s="265"/>
      <c r="P26" s="266">
        <v>0</v>
      </c>
      <c r="Q26" s="267"/>
      <c r="R26" s="267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17">
    <mergeCell ref="Q5:Q7"/>
    <mergeCell ref="R5:R7"/>
    <mergeCell ref="J5:J7"/>
    <mergeCell ref="K5:M5"/>
    <mergeCell ref="N5:P5"/>
    <mergeCell ref="K6:K7"/>
    <mergeCell ref="N6:N7"/>
    <mergeCell ref="L6:M6"/>
    <mergeCell ref="O6:P6"/>
    <mergeCell ref="F5:F7"/>
    <mergeCell ref="G5:I5"/>
    <mergeCell ref="G6:G7"/>
    <mergeCell ref="H6:I6"/>
    <mergeCell ref="B5:B7"/>
    <mergeCell ref="C5:C7"/>
    <mergeCell ref="D5:D7"/>
    <mergeCell ref="E5:E7"/>
  </mergeCells>
  <printOptions/>
  <pageMargins left="0.1968503937007874" right="0" top="0.3937007874015748" bottom="0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R19"/>
  <sheetViews>
    <sheetView zoomScale="120" zoomScaleNormal="120" workbookViewId="0" topLeftCell="A1">
      <pane ySplit="8" topLeftCell="BM9" activePane="bottomLeft" state="frozen"/>
      <selection pane="topLeft" activeCell="A1" sqref="A1"/>
      <selection pane="bottomLeft" activeCell="Q18" sqref="Q18"/>
    </sheetView>
  </sheetViews>
  <sheetFormatPr defaultColWidth="9.00390625" defaultRowHeight="12.75"/>
  <cols>
    <col min="1" max="1" width="27.25390625" style="0" customWidth="1"/>
    <col min="2" max="2" width="5.25390625" style="0" customWidth="1"/>
    <col min="3" max="4" width="5.00390625" style="0" customWidth="1"/>
    <col min="5" max="5" width="9.00390625" style="0" customWidth="1"/>
    <col min="6" max="6" width="6.25390625" style="0" customWidth="1"/>
    <col min="7" max="7" width="10.875" style="0" customWidth="1"/>
    <col min="10" max="10" width="10.25390625" style="0" customWidth="1"/>
    <col min="17" max="17" width="5.875" style="0" customWidth="1"/>
    <col min="18" max="18" width="5.75390625" style="0" customWidth="1"/>
  </cols>
  <sheetData>
    <row r="1" spans="1:18" ht="14.25">
      <c r="A1" s="1"/>
      <c r="B1" s="2"/>
      <c r="C1" s="1"/>
      <c r="D1" s="1"/>
      <c r="E1" s="1"/>
      <c r="F1" s="2"/>
      <c r="G1" s="21" t="s">
        <v>340</v>
      </c>
      <c r="H1" s="2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>
      <c r="A2" s="1"/>
      <c r="B2" s="2"/>
      <c r="C2" s="1"/>
      <c r="D2" s="1"/>
      <c r="E2" s="1"/>
      <c r="F2" s="2"/>
      <c r="G2" s="21" t="s">
        <v>341</v>
      </c>
      <c r="H2" s="2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>
      <c r="A3" s="1"/>
      <c r="B3" s="2"/>
      <c r="C3" s="1"/>
      <c r="D3" s="1"/>
      <c r="E3" s="1"/>
      <c r="F3" s="2"/>
      <c r="G3" s="21" t="s">
        <v>154</v>
      </c>
      <c r="H3" s="2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2"/>
      <c r="C4" s="1"/>
      <c r="D4" s="1"/>
      <c r="E4" s="1"/>
      <c r="F4" s="2"/>
      <c r="G4" s="1"/>
      <c r="H4" s="1"/>
      <c r="I4" s="1"/>
      <c r="J4" s="1"/>
      <c r="K4" s="1"/>
      <c r="L4" s="1"/>
      <c r="M4" s="1"/>
      <c r="N4" s="1"/>
      <c r="O4" s="1"/>
      <c r="P4" s="125" t="s">
        <v>308</v>
      </c>
      <c r="Q4" s="1"/>
      <c r="R4" s="1"/>
    </row>
    <row r="5" spans="1:18" ht="13.5" customHeight="1">
      <c r="A5" s="170"/>
      <c r="B5" s="636" t="s">
        <v>214</v>
      </c>
      <c r="C5" s="636" t="s">
        <v>215</v>
      </c>
      <c r="D5" s="636" t="s">
        <v>216</v>
      </c>
      <c r="E5" s="636" t="s">
        <v>213</v>
      </c>
      <c r="F5" s="636" t="s">
        <v>218</v>
      </c>
      <c r="G5" s="696" t="s">
        <v>300</v>
      </c>
      <c r="H5" s="696"/>
      <c r="I5" s="696"/>
      <c r="J5" s="595" t="s">
        <v>155</v>
      </c>
      <c r="K5" s="648" t="s">
        <v>301</v>
      </c>
      <c r="L5" s="649"/>
      <c r="M5" s="650"/>
      <c r="N5" s="648" t="s">
        <v>302</v>
      </c>
      <c r="O5" s="649"/>
      <c r="P5" s="650"/>
      <c r="Q5" s="702" t="s">
        <v>339</v>
      </c>
      <c r="R5" s="705" t="s">
        <v>266</v>
      </c>
    </row>
    <row r="6" spans="1:18" ht="12.75">
      <c r="A6" s="171"/>
      <c r="B6" s="637"/>
      <c r="C6" s="637"/>
      <c r="D6" s="637"/>
      <c r="E6" s="637"/>
      <c r="F6" s="637"/>
      <c r="G6" s="708" t="s">
        <v>304</v>
      </c>
      <c r="H6" s="700" t="s">
        <v>303</v>
      </c>
      <c r="I6" s="701"/>
      <c r="J6" s="596"/>
      <c r="K6" s="634" t="s">
        <v>304</v>
      </c>
      <c r="L6" s="698" t="s">
        <v>303</v>
      </c>
      <c r="M6" s="699"/>
      <c r="N6" s="634" t="s">
        <v>304</v>
      </c>
      <c r="O6" s="698" t="s">
        <v>303</v>
      </c>
      <c r="P6" s="699"/>
      <c r="Q6" s="703"/>
      <c r="R6" s="706"/>
    </row>
    <row r="7" spans="1:18" ht="39.75" customHeight="1">
      <c r="A7" s="172"/>
      <c r="B7" s="638"/>
      <c r="C7" s="638"/>
      <c r="D7" s="638"/>
      <c r="E7" s="638"/>
      <c r="F7" s="638"/>
      <c r="G7" s="635"/>
      <c r="H7" s="153" t="s">
        <v>305</v>
      </c>
      <c r="I7" s="154" t="s">
        <v>306</v>
      </c>
      <c r="J7" s="597"/>
      <c r="K7" s="635"/>
      <c r="L7" s="153" t="s">
        <v>305</v>
      </c>
      <c r="M7" s="155" t="s">
        <v>306</v>
      </c>
      <c r="N7" s="635"/>
      <c r="O7" s="153" t="s">
        <v>305</v>
      </c>
      <c r="P7" s="155" t="s">
        <v>306</v>
      </c>
      <c r="Q7" s="704"/>
      <c r="R7" s="707"/>
    </row>
    <row r="8" spans="1:18" ht="14.25">
      <c r="A8" s="20" t="s">
        <v>310</v>
      </c>
      <c r="B8" s="81"/>
      <c r="C8" s="39"/>
      <c r="D8" s="81"/>
      <c r="E8" s="40" t="s">
        <v>345</v>
      </c>
      <c r="F8" s="81"/>
      <c r="G8" s="40">
        <f>G9</f>
        <v>24235.8</v>
      </c>
      <c r="H8" s="40">
        <f aca="true" t="shared" si="0" ref="H8:P8">H9</f>
        <v>23981.2</v>
      </c>
      <c r="I8" s="40">
        <f t="shared" si="0"/>
        <v>254.6</v>
      </c>
      <c r="J8" s="40">
        <f t="shared" si="0"/>
        <v>7375</v>
      </c>
      <c r="K8" s="40">
        <f t="shared" si="0"/>
        <v>4558.1</v>
      </c>
      <c r="L8" s="40">
        <f t="shared" si="0"/>
        <v>4512.5</v>
      </c>
      <c r="M8" s="40">
        <f t="shared" si="0"/>
        <v>45.6</v>
      </c>
      <c r="N8" s="40">
        <f t="shared" si="0"/>
        <v>0</v>
      </c>
      <c r="O8" s="40">
        <f t="shared" si="0"/>
        <v>0</v>
      </c>
      <c r="P8" s="40">
        <f t="shared" si="0"/>
        <v>0</v>
      </c>
      <c r="Q8" s="39">
        <f>L8/J8*100</f>
        <v>61.186440677966104</v>
      </c>
      <c r="R8" s="39">
        <f>O8/L8*100</f>
        <v>0</v>
      </c>
    </row>
    <row r="9" spans="1:18" ht="57.75" customHeight="1">
      <c r="A9" s="79" t="s">
        <v>337</v>
      </c>
      <c r="B9" s="82" t="s">
        <v>281</v>
      </c>
      <c r="C9" s="39"/>
      <c r="D9" s="81"/>
      <c r="E9" s="39"/>
      <c r="F9" s="81"/>
      <c r="G9" s="40">
        <f>G10</f>
        <v>24235.8</v>
      </c>
      <c r="H9" s="40">
        <f aca="true" t="shared" si="1" ref="H9:P9">H10</f>
        <v>23981.2</v>
      </c>
      <c r="I9" s="40">
        <f t="shared" si="1"/>
        <v>254.6</v>
      </c>
      <c r="J9" s="40">
        <f t="shared" si="1"/>
        <v>7375</v>
      </c>
      <c r="K9" s="40">
        <f t="shared" si="1"/>
        <v>4558.1</v>
      </c>
      <c r="L9" s="40">
        <f t="shared" si="1"/>
        <v>4512.5</v>
      </c>
      <c r="M9" s="40">
        <f t="shared" si="1"/>
        <v>45.6</v>
      </c>
      <c r="N9" s="40">
        <f t="shared" si="1"/>
        <v>0</v>
      </c>
      <c r="O9" s="40">
        <f t="shared" si="1"/>
        <v>0</v>
      </c>
      <c r="P9" s="40">
        <f t="shared" si="1"/>
        <v>0</v>
      </c>
      <c r="Q9" s="39">
        <f>L9/J9*100</f>
        <v>61.186440677966104</v>
      </c>
      <c r="R9" s="39">
        <f>O9/L9*100</f>
        <v>0</v>
      </c>
    </row>
    <row r="10" spans="1:18" ht="12.75">
      <c r="A10" s="39" t="s">
        <v>279</v>
      </c>
      <c r="B10" s="82" t="s">
        <v>281</v>
      </c>
      <c r="C10" s="82" t="s">
        <v>271</v>
      </c>
      <c r="D10" s="82"/>
      <c r="E10" s="39"/>
      <c r="F10" s="82"/>
      <c r="G10" s="39">
        <f>G11</f>
        <v>24235.8</v>
      </c>
      <c r="H10" s="39">
        <f>H11</f>
        <v>23981.2</v>
      </c>
      <c r="I10" s="39">
        <f aca="true" t="shared" si="2" ref="I10:P10">I11</f>
        <v>254.6</v>
      </c>
      <c r="J10" s="39">
        <f t="shared" si="2"/>
        <v>7375</v>
      </c>
      <c r="K10" s="39">
        <f t="shared" si="2"/>
        <v>4558.1</v>
      </c>
      <c r="L10" s="39">
        <f t="shared" si="2"/>
        <v>4512.5</v>
      </c>
      <c r="M10" s="39">
        <f t="shared" si="2"/>
        <v>45.6</v>
      </c>
      <c r="N10" s="39">
        <f t="shared" si="2"/>
        <v>0</v>
      </c>
      <c r="O10" s="39">
        <f t="shared" si="2"/>
        <v>0</v>
      </c>
      <c r="P10" s="39">
        <f t="shared" si="2"/>
        <v>0</v>
      </c>
      <c r="Q10" s="39"/>
      <c r="R10" s="39"/>
    </row>
    <row r="11" spans="1:18" ht="28.5" customHeight="1">
      <c r="A11" s="41" t="s">
        <v>280</v>
      </c>
      <c r="B11" s="82" t="s">
        <v>281</v>
      </c>
      <c r="C11" s="82" t="s">
        <v>271</v>
      </c>
      <c r="D11" s="82" t="s">
        <v>269</v>
      </c>
      <c r="E11" s="39"/>
      <c r="F11" s="81"/>
      <c r="G11" s="39">
        <f>G12</f>
        <v>24235.8</v>
      </c>
      <c r="H11" s="39">
        <f aca="true" t="shared" si="3" ref="H11:P11">H12</f>
        <v>23981.2</v>
      </c>
      <c r="I11" s="39">
        <f t="shared" si="3"/>
        <v>254.6</v>
      </c>
      <c r="J11" s="39">
        <f t="shared" si="3"/>
        <v>7375</v>
      </c>
      <c r="K11" s="39">
        <f t="shared" si="3"/>
        <v>4558.1</v>
      </c>
      <c r="L11" s="39">
        <f t="shared" si="3"/>
        <v>4512.5</v>
      </c>
      <c r="M11" s="39">
        <f t="shared" si="3"/>
        <v>45.6</v>
      </c>
      <c r="N11" s="39">
        <f t="shared" si="3"/>
        <v>0</v>
      </c>
      <c r="O11" s="39">
        <f t="shared" si="3"/>
        <v>0</v>
      </c>
      <c r="P11" s="39">
        <f t="shared" si="3"/>
        <v>0</v>
      </c>
      <c r="Q11" s="39"/>
      <c r="R11" s="39"/>
    </row>
    <row r="12" spans="1:18" ht="25.5">
      <c r="A12" s="41" t="s">
        <v>342</v>
      </c>
      <c r="B12" s="82" t="s">
        <v>281</v>
      </c>
      <c r="C12" s="82" t="s">
        <v>271</v>
      </c>
      <c r="D12" s="82" t="s">
        <v>269</v>
      </c>
      <c r="E12" s="39" t="s">
        <v>344</v>
      </c>
      <c r="F12" s="81"/>
      <c r="G12" s="39">
        <f>H12+I12</f>
        <v>24235.8</v>
      </c>
      <c r="H12" s="130">
        <f>H13</f>
        <v>23981.2</v>
      </c>
      <c r="I12" s="39">
        <f>I13</f>
        <v>254.6</v>
      </c>
      <c r="J12" s="130">
        <f>J13</f>
        <v>7375</v>
      </c>
      <c r="K12" s="39">
        <f>L12+M12</f>
        <v>4558.1</v>
      </c>
      <c r="L12" s="130">
        <f>L13</f>
        <v>4512.5</v>
      </c>
      <c r="M12" s="39">
        <f>M13</f>
        <v>45.6</v>
      </c>
      <c r="N12" s="39">
        <f>O12+P12</f>
        <v>0</v>
      </c>
      <c r="O12" s="130">
        <f>O13</f>
        <v>0</v>
      </c>
      <c r="P12" s="39">
        <f>P13</f>
        <v>0</v>
      </c>
      <c r="Q12" s="39"/>
      <c r="R12" s="39"/>
    </row>
    <row r="13" spans="1:18" ht="54" customHeight="1">
      <c r="A13" s="41" t="s">
        <v>346</v>
      </c>
      <c r="B13" s="82" t="s">
        <v>281</v>
      </c>
      <c r="C13" s="82" t="s">
        <v>271</v>
      </c>
      <c r="D13" s="82" t="s">
        <v>269</v>
      </c>
      <c r="E13" s="39" t="s">
        <v>345</v>
      </c>
      <c r="F13" s="81"/>
      <c r="G13" s="39">
        <f>H13+I13</f>
        <v>24235.8</v>
      </c>
      <c r="H13" s="130">
        <f>H14+H18</f>
        <v>23981.2</v>
      </c>
      <c r="I13" s="110">
        <f>I14+I18</f>
        <v>254.6</v>
      </c>
      <c r="J13" s="130">
        <f>J14+J18</f>
        <v>7375</v>
      </c>
      <c r="K13" s="39">
        <f>L13+M13</f>
        <v>4558.1</v>
      </c>
      <c r="L13" s="130">
        <f>L14+L18</f>
        <v>4512.5</v>
      </c>
      <c r="M13" s="110">
        <f>M14+M18</f>
        <v>45.6</v>
      </c>
      <c r="N13" s="39">
        <f>O13+P13</f>
        <v>0</v>
      </c>
      <c r="O13" s="130">
        <f>O14+O18</f>
        <v>0</v>
      </c>
      <c r="P13" s="110">
        <f>P14+P18</f>
        <v>0</v>
      </c>
      <c r="Q13" s="39">
        <f>L13/J13*100</f>
        <v>61.186440677966104</v>
      </c>
      <c r="R13" s="39">
        <f>O13/L13*100</f>
        <v>0</v>
      </c>
    </row>
    <row r="14" spans="1:18" ht="12.75">
      <c r="A14" s="41" t="s">
        <v>240</v>
      </c>
      <c r="B14" s="82" t="s">
        <v>281</v>
      </c>
      <c r="C14" s="82" t="s">
        <v>271</v>
      </c>
      <c r="D14" s="82" t="s">
        <v>269</v>
      </c>
      <c r="E14" s="39" t="s">
        <v>345</v>
      </c>
      <c r="F14" s="82" t="s">
        <v>241</v>
      </c>
      <c r="G14" s="39">
        <f>H14+I14</f>
        <v>24060.8</v>
      </c>
      <c r="H14" s="130">
        <f>H15+H16+H17</f>
        <v>23806.2</v>
      </c>
      <c r="I14" s="110">
        <f>I15+I16+I17</f>
        <v>254.6</v>
      </c>
      <c r="J14" s="130">
        <f>J15+J16+J17</f>
        <v>7375</v>
      </c>
      <c r="K14" s="110">
        <f>L14+M14</f>
        <v>4558.1</v>
      </c>
      <c r="L14" s="130">
        <f>L15+L16+L17</f>
        <v>4512.5</v>
      </c>
      <c r="M14" s="110">
        <f>M15+M16+M17</f>
        <v>45.6</v>
      </c>
      <c r="N14" s="110">
        <f>O14+P14</f>
        <v>0</v>
      </c>
      <c r="O14" s="130">
        <f>O15+O16+O17</f>
        <v>0</v>
      </c>
      <c r="P14" s="110">
        <f>P15+P16+P17</f>
        <v>0</v>
      </c>
      <c r="Q14" s="39">
        <f>L14/J14*100</f>
        <v>61.186440677966104</v>
      </c>
      <c r="R14" s="39">
        <f>O14/L14*100</f>
        <v>0</v>
      </c>
    </row>
    <row r="15" spans="1:18" ht="60">
      <c r="A15" s="105" t="s">
        <v>347</v>
      </c>
      <c r="B15" s="102"/>
      <c r="C15" s="82"/>
      <c r="D15" s="82"/>
      <c r="E15" s="39"/>
      <c r="F15" s="102"/>
      <c r="G15" s="103"/>
      <c r="H15" s="131">
        <v>3870</v>
      </c>
      <c r="I15" s="103">
        <v>39</v>
      </c>
      <c r="J15" s="131">
        <v>640</v>
      </c>
      <c r="K15" s="103"/>
      <c r="L15" s="131">
        <v>640</v>
      </c>
      <c r="M15" s="103">
        <v>6.5</v>
      </c>
      <c r="N15" s="103"/>
      <c r="O15" s="131">
        <v>0</v>
      </c>
      <c r="P15" s="103">
        <v>0</v>
      </c>
      <c r="Q15" s="39"/>
      <c r="R15" s="39"/>
    </row>
    <row r="16" spans="1:18" ht="96">
      <c r="A16" s="105" t="s">
        <v>348</v>
      </c>
      <c r="B16" s="102"/>
      <c r="C16" s="82"/>
      <c r="D16" s="82"/>
      <c r="E16" s="39"/>
      <c r="F16" s="102"/>
      <c r="G16" s="103"/>
      <c r="H16" s="131">
        <v>2862.5</v>
      </c>
      <c r="I16" s="103">
        <v>28.9</v>
      </c>
      <c r="J16" s="131">
        <v>2862.5</v>
      </c>
      <c r="K16" s="103"/>
      <c r="L16" s="131">
        <v>0</v>
      </c>
      <c r="M16" s="103">
        <v>0</v>
      </c>
      <c r="N16" s="103"/>
      <c r="O16" s="131">
        <v>0</v>
      </c>
      <c r="P16" s="103">
        <v>0</v>
      </c>
      <c r="Q16" s="39"/>
      <c r="R16" s="39"/>
    </row>
    <row r="17" spans="1:18" ht="60">
      <c r="A17" s="105" t="s">
        <v>349</v>
      </c>
      <c r="B17" s="102"/>
      <c r="C17" s="82"/>
      <c r="D17" s="82"/>
      <c r="E17" s="39"/>
      <c r="F17" s="102"/>
      <c r="G17" s="103"/>
      <c r="H17" s="131">
        <v>17073.7</v>
      </c>
      <c r="I17" s="103">
        <v>186.7</v>
      </c>
      <c r="J17" s="131">
        <v>3872.5</v>
      </c>
      <c r="K17" s="103"/>
      <c r="L17" s="131">
        <v>3872.5</v>
      </c>
      <c r="M17" s="103">
        <v>39.1</v>
      </c>
      <c r="N17" s="103"/>
      <c r="O17" s="131">
        <v>0</v>
      </c>
      <c r="P17" s="103">
        <v>0</v>
      </c>
      <c r="Q17" s="39"/>
      <c r="R17" s="39"/>
    </row>
    <row r="18" spans="1:18" ht="12.75">
      <c r="A18" s="39" t="s">
        <v>248</v>
      </c>
      <c r="B18" s="82" t="s">
        <v>281</v>
      </c>
      <c r="C18" s="82" t="s">
        <v>271</v>
      </c>
      <c r="D18" s="82" t="s">
        <v>269</v>
      </c>
      <c r="E18" s="39" t="s">
        <v>345</v>
      </c>
      <c r="F18" s="82" t="s">
        <v>249</v>
      </c>
      <c r="G18" s="39">
        <f>SUM(H18+I18)</f>
        <v>175</v>
      </c>
      <c r="H18" s="130">
        <f>H19</f>
        <v>175</v>
      </c>
      <c r="I18" s="39"/>
      <c r="J18" s="130">
        <f>J19</f>
        <v>0</v>
      </c>
      <c r="K18" s="39">
        <f>L18+M18</f>
        <v>0</v>
      </c>
      <c r="L18" s="130">
        <f>L19</f>
        <v>0</v>
      </c>
      <c r="M18" s="39">
        <f>M19</f>
        <v>0</v>
      </c>
      <c r="N18" s="39">
        <f>SUM(O18+P18)</f>
        <v>0</v>
      </c>
      <c r="O18" s="130">
        <f>O19</f>
        <v>0</v>
      </c>
      <c r="P18" s="39">
        <f>P19</f>
        <v>0</v>
      </c>
      <c r="Q18" s="115"/>
      <c r="R18" s="39"/>
    </row>
    <row r="19" spans="1:18" ht="48">
      <c r="A19" s="105" t="s">
        <v>350</v>
      </c>
      <c r="B19" s="120"/>
      <c r="C19" s="120"/>
      <c r="D19" s="120"/>
      <c r="E19" s="176"/>
      <c r="F19" s="120"/>
      <c r="G19" s="121"/>
      <c r="H19" s="133">
        <v>175</v>
      </c>
      <c r="I19" s="121">
        <v>0</v>
      </c>
      <c r="J19" s="133">
        <v>0</v>
      </c>
      <c r="K19" s="121"/>
      <c r="L19" s="133">
        <v>0</v>
      </c>
      <c r="M19" s="121">
        <v>0</v>
      </c>
      <c r="N19" s="121"/>
      <c r="O19" s="131">
        <v>0</v>
      </c>
      <c r="P19" s="121">
        <v>0</v>
      </c>
      <c r="Q19" s="39"/>
      <c r="R19" s="39"/>
    </row>
  </sheetData>
  <mergeCells count="17">
    <mergeCell ref="Q5:Q7"/>
    <mergeCell ref="R5:R7"/>
    <mergeCell ref="G5:I5"/>
    <mergeCell ref="G6:G7"/>
    <mergeCell ref="J5:J7"/>
    <mergeCell ref="K5:M5"/>
    <mergeCell ref="N5:P5"/>
    <mergeCell ref="K6:K7"/>
    <mergeCell ref="N6:N7"/>
    <mergeCell ref="L6:M6"/>
    <mergeCell ref="O6:P6"/>
    <mergeCell ref="F5:F7"/>
    <mergeCell ref="H6:I6"/>
    <mergeCell ref="B5:B7"/>
    <mergeCell ref="C5:C7"/>
    <mergeCell ref="D5:D7"/>
    <mergeCell ref="E5:E7"/>
  </mergeCells>
  <printOptions/>
  <pageMargins left="0.5905511811023623" right="0" top="0.984251968503937" bottom="0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U28"/>
  <sheetViews>
    <sheetView tabSelected="1" zoomScale="120" zoomScaleNormal="120"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28.25390625" style="0" customWidth="1"/>
    <col min="2" max="2" width="5.00390625" style="0" customWidth="1"/>
    <col min="3" max="3" width="4.75390625" style="0" customWidth="1"/>
    <col min="4" max="4" width="4.25390625" style="0" customWidth="1"/>
    <col min="6" max="6" width="3.75390625" style="0" customWidth="1"/>
    <col min="9" max="9" width="8.00390625" style="0" customWidth="1"/>
    <col min="18" max="18" width="7.375" style="0" customWidth="1"/>
    <col min="19" max="19" width="7.00390625" style="0" customWidth="1"/>
    <col min="20" max="20" width="5.25390625" style="0" customWidth="1"/>
    <col min="21" max="21" width="5.625" style="0" customWidth="1"/>
  </cols>
  <sheetData>
    <row r="1" spans="1:21" ht="14.25">
      <c r="A1" s="709" t="s">
        <v>351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</row>
    <row r="2" spans="1:21" ht="14.25">
      <c r="A2" s="709" t="s">
        <v>352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709"/>
    </row>
    <row r="3" spans="1:21" ht="14.25">
      <c r="A3" s="709" t="s">
        <v>152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</row>
    <row r="4" spans="1:21" ht="45.75" customHeight="1">
      <c r="A4" s="170"/>
      <c r="B4" s="636" t="s">
        <v>214</v>
      </c>
      <c r="C4" s="636" t="s">
        <v>215</v>
      </c>
      <c r="D4" s="636" t="s">
        <v>216</v>
      </c>
      <c r="E4" s="636" t="s">
        <v>213</v>
      </c>
      <c r="F4" s="636" t="s">
        <v>218</v>
      </c>
      <c r="G4" s="711" t="s">
        <v>300</v>
      </c>
      <c r="H4" s="712"/>
      <c r="I4" s="712"/>
      <c r="J4" s="713"/>
      <c r="K4" s="595" t="s">
        <v>153</v>
      </c>
      <c r="L4" s="648" t="s">
        <v>301</v>
      </c>
      <c r="M4" s="649"/>
      <c r="N4" s="649"/>
      <c r="O4" s="650"/>
      <c r="P4" s="711" t="s">
        <v>302</v>
      </c>
      <c r="Q4" s="712"/>
      <c r="R4" s="712"/>
      <c r="S4" s="713"/>
      <c r="T4" s="702" t="s">
        <v>339</v>
      </c>
      <c r="U4" s="705" t="s">
        <v>266</v>
      </c>
    </row>
    <row r="5" spans="1:21" ht="12.75">
      <c r="A5" s="171"/>
      <c r="B5" s="637"/>
      <c r="C5" s="637"/>
      <c r="D5" s="637"/>
      <c r="E5" s="637"/>
      <c r="F5" s="637"/>
      <c r="G5" s="687" t="s">
        <v>304</v>
      </c>
      <c r="H5" s="698" t="s">
        <v>303</v>
      </c>
      <c r="I5" s="710"/>
      <c r="J5" s="699"/>
      <c r="K5" s="596"/>
      <c r="L5" s="634" t="s">
        <v>304</v>
      </c>
      <c r="M5" s="697" t="s">
        <v>303</v>
      </c>
      <c r="N5" s="697"/>
      <c r="O5" s="697"/>
      <c r="P5" s="634" t="s">
        <v>304</v>
      </c>
      <c r="Q5" s="697" t="s">
        <v>303</v>
      </c>
      <c r="R5" s="697"/>
      <c r="S5" s="697"/>
      <c r="T5" s="703"/>
      <c r="U5" s="706"/>
    </row>
    <row r="6" spans="1:21" ht="33.75">
      <c r="A6" s="172"/>
      <c r="B6" s="638"/>
      <c r="C6" s="638"/>
      <c r="D6" s="638"/>
      <c r="E6" s="638"/>
      <c r="F6" s="638"/>
      <c r="G6" s="687"/>
      <c r="H6" s="153" t="s">
        <v>305</v>
      </c>
      <c r="I6" s="154" t="s">
        <v>306</v>
      </c>
      <c r="J6" s="154" t="s">
        <v>312</v>
      </c>
      <c r="K6" s="597"/>
      <c r="L6" s="635"/>
      <c r="M6" s="153" t="s">
        <v>305</v>
      </c>
      <c r="N6" s="154" t="s">
        <v>306</v>
      </c>
      <c r="O6" s="154" t="s">
        <v>312</v>
      </c>
      <c r="P6" s="635"/>
      <c r="Q6" s="153" t="s">
        <v>305</v>
      </c>
      <c r="R6" s="154" t="s">
        <v>306</v>
      </c>
      <c r="S6" s="154" t="s">
        <v>312</v>
      </c>
      <c r="T6" s="704"/>
      <c r="U6" s="707"/>
    </row>
    <row r="7" spans="1:21" ht="18" customHeight="1">
      <c r="A7" s="20" t="s">
        <v>310</v>
      </c>
      <c r="B7" s="81"/>
      <c r="C7" s="39"/>
      <c r="D7" s="81"/>
      <c r="E7" s="40" t="s">
        <v>343</v>
      </c>
      <c r="F7" s="81"/>
      <c r="G7" s="40">
        <f>H7+I7+J7</f>
        <v>172809.7</v>
      </c>
      <c r="H7" s="40">
        <f>H8+H15</f>
        <v>148317</v>
      </c>
      <c r="I7" s="40">
        <f>I8+I15</f>
        <v>0</v>
      </c>
      <c r="J7" s="40">
        <f>J8+J15</f>
        <v>24492.7</v>
      </c>
      <c r="K7" s="40">
        <f>K8+K15</f>
        <v>4616.1</v>
      </c>
      <c r="L7" s="40">
        <f>M7+N7+O7</f>
        <v>3443.8</v>
      </c>
      <c r="M7" s="40">
        <f>M8+M15</f>
        <v>3409.4</v>
      </c>
      <c r="N7" s="40">
        <f>N8+N15</f>
        <v>0</v>
      </c>
      <c r="O7" s="40">
        <f>O8+O15</f>
        <v>34.4</v>
      </c>
      <c r="P7" s="40">
        <f>Q7+R7+S7</f>
        <v>3443.8</v>
      </c>
      <c r="Q7" s="40">
        <f>Q8+Q15</f>
        <v>3409.4</v>
      </c>
      <c r="R7" s="40">
        <f>R8+R15</f>
        <v>0</v>
      </c>
      <c r="S7" s="40">
        <f>S8+S15</f>
        <v>34.4</v>
      </c>
      <c r="T7" s="40">
        <f>M7/K7*100</f>
        <v>73.85888520612637</v>
      </c>
      <c r="U7" s="40">
        <f>Q7/M7*100</f>
        <v>100</v>
      </c>
    </row>
    <row r="8" spans="1:21" s="177" customFormat="1" ht="41.25" customHeight="1">
      <c r="A8" s="79" t="s">
        <v>298</v>
      </c>
      <c r="B8" s="78" t="s">
        <v>239</v>
      </c>
      <c r="C8" s="40"/>
      <c r="D8" s="87"/>
      <c r="E8" s="40"/>
      <c r="F8" s="87"/>
      <c r="G8" s="40">
        <f>SUM(G9)</f>
        <v>125267</v>
      </c>
      <c r="H8" s="132">
        <f>SUM(H9)</f>
        <v>101236.8</v>
      </c>
      <c r="I8" s="40">
        <f>I9</f>
        <v>0</v>
      </c>
      <c r="J8" s="40">
        <f>J9</f>
        <v>24030.2</v>
      </c>
      <c r="K8" s="132">
        <f aca="true" t="shared" si="0" ref="K8:M9">SUM(K9)</f>
        <v>0</v>
      </c>
      <c r="L8" s="40">
        <f t="shared" si="0"/>
        <v>0</v>
      </c>
      <c r="M8" s="132">
        <f t="shared" si="0"/>
        <v>0</v>
      </c>
      <c r="N8" s="40">
        <f>N9</f>
        <v>0</v>
      </c>
      <c r="O8" s="40">
        <f>O9</f>
        <v>0</v>
      </c>
      <c r="P8" s="40">
        <f>SUM(P9)</f>
        <v>0</v>
      </c>
      <c r="Q8" s="132">
        <f>SUM(Q9)</f>
        <v>0</v>
      </c>
      <c r="R8" s="40">
        <f>R9</f>
        <v>0</v>
      </c>
      <c r="S8" s="40">
        <f>S9</f>
        <v>0</v>
      </c>
      <c r="T8" s="40"/>
      <c r="U8" s="40"/>
    </row>
    <row r="9" spans="1:21" ht="15" customHeight="1">
      <c r="A9" s="41" t="s">
        <v>279</v>
      </c>
      <c r="B9" s="82" t="s">
        <v>239</v>
      </c>
      <c r="C9" s="82" t="s">
        <v>271</v>
      </c>
      <c r="D9" s="81"/>
      <c r="E9" s="39"/>
      <c r="F9" s="81"/>
      <c r="G9" s="39">
        <f>SUM(G10)</f>
        <v>125267</v>
      </c>
      <c r="H9" s="130">
        <f>SUM(H10)</f>
        <v>101236.8</v>
      </c>
      <c r="I9" s="39">
        <f>I10</f>
        <v>0</v>
      </c>
      <c r="J9" s="39">
        <f>J10</f>
        <v>24030.2</v>
      </c>
      <c r="K9" s="130">
        <f t="shared" si="0"/>
        <v>0</v>
      </c>
      <c r="L9" s="39">
        <f t="shared" si="0"/>
        <v>0</v>
      </c>
      <c r="M9" s="130">
        <f t="shared" si="0"/>
        <v>0</v>
      </c>
      <c r="N9" s="39">
        <f>N10</f>
        <v>0</v>
      </c>
      <c r="O9" s="39">
        <f>O10</f>
        <v>0</v>
      </c>
      <c r="P9" s="39">
        <f>SUM(P10)</f>
        <v>0</v>
      </c>
      <c r="Q9" s="130">
        <f>SUM(Q10)</f>
        <v>0</v>
      </c>
      <c r="R9" s="39">
        <f>R10</f>
        <v>0</v>
      </c>
      <c r="S9" s="39">
        <f>S10</f>
        <v>0</v>
      </c>
      <c r="T9" s="39"/>
      <c r="U9" s="39"/>
    </row>
    <row r="10" spans="1:21" ht="29.25" customHeight="1">
      <c r="A10" s="41" t="s">
        <v>280</v>
      </c>
      <c r="B10" s="82" t="s">
        <v>239</v>
      </c>
      <c r="C10" s="82" t="s">
        <v>271</v>
      </c>
      <c r="D10" s="82" t="s">
        <v>269</v>
      </c>
      <c r="E10" s="39"/>
      <c r="F10" s="81"/>
      <c r="G10" s="39">
        <f>H10+I10+J10</f>
        <v>125267</v>
      </c>
      <c r="H10" s="130">
        <f>SUM(H13)</f>
        <v>101236.8</v>
      </c>
      <c r="I10" s="39">
        <f>I13</f>
        <v>0</v>
      </c>
      <c r="J10" s="39">
        <f>J13</f>
        <v>24030.2</v>
      </c>
      <c r="K10" s="130">
        <f>SUM(K13)</f>
        <v>0</v>
      </c>
      <c r="L10" s="39">
        <f>M10+N10+O10</f>
        <v>0</v>
      </c>
      <c r="M10" s="130">
        <f>SUM(M13)</f>
        <v>0</v>
      </c>
      <c r="N10" s="39">
        <f>N13</f>
        <v>0</v>
      </c>
      <c r="O10" s="39">
        <f>O13</f>
        <v>0</v>
      </c>
      <c r="P10" s="39">
        <f>Q10+R10+S10</f>
        <v>0</v>
      </c>
      <c r="Q10" s="130">
        <f>SUM(Q13)</f>
        <v>0</v>
      </c>
      <c r="R10" s="39">
        <f>R13</f>
        <v>0</v>
      </c>
      <c r="S10" s="39">
        <f>S13</f>
        <v>0</v>
      </c>
      <c r="T10" s="39"/>
      <c r="U10" s="39"/>
    </row>
    <row r="11" spans="1:21" ht="27" customHeight="1">
      <c r="A11" s="41" t="s">
        <v>342</v>
      </c>
      <c r="B11" s="82" t="s">
        <v>239</v>
      </c>
      <c r="C11" s="82" t="s">
        <v>271</v>
      </c>
      <c r="D11" s="82" t="s">
        <v>269</v>
      </c>
      <c r="E11" s="39" t="s">
        <v>344</v>
      </c>
      <c r="F11" s="81"/>
      <c r="G11" s="39"/>
      <c r="H11" s="130"/>
      <c r="I11" s="39"/>
      <c r="J11" s="39"/>
      <c r="K11" s="130"/>
      <c r="L11" s="39"/>
      <c r="M11" s="130"/>
      <c r="N11" s="39"/>
      <c r="O11" s="39"/>
      <c r="P11" s="39"/>
      <c r="Q11" s="130"/>
      <c r="R11" s="39"/>
      <c r="S11" s="39"/>
      <c r="T11" s="39"/>
      <c r="U11" s="39"/>
    </row>
    <row r="12" spans="1:21" ht="76.5" customHeight="1">
      <c r="A12" s="41" t="s">
        <v>353</v>
      </c>
      <c r="B12" s="82" t="s">
        <v>239</v>
      </c>
      <c r="C12" s="82" t="s">
        <v>271</v>
      </c>
      <c r="D12" s="82" t="s">
        <v>269</v>
      </c>
      <c r="E12" s="39" t="s">
        <v>343</v>
      </c>
      <c r="F12" s="81"/>
      <c r="G12" s="39"/>
      <c r="H12" s="130"/>
      <c r="I12" s="39"/>
      <c r="J12" s="39"/>
      <c r="K12" s="130"/>
      <c r="L12" s="39"/>
      <c r="M12" s="130"/>
      <c r="N12" s="39"/>
      <c r="O12" s="39"/>
      <c r="P12" s="39"/>
      <c r="Q12" s="130"/>
      <c r="R12" s="39"/>
      <c r="S12" s="39"/>
      <c r="T12" s="39"/>
      <c r="U12" s="39"/>
    </row>
    <row r="13" spans="1:21" ht="12.75">
      <c r="A13" s="41" t="s">
        <v>257</v>
      </c>
      <c r="B13" s="82" t="s">
        <v>239</v>
      </c>
      <c r="C13" s="82" t="s">
        <v>271</v>
      </c>
      <c r="D13" s="82" t="s">
        <v>269</v>
      </c>
      <c r="E13" s="39" t="s">
        <v>343</v>
      </c>
      <c r="F13" s="82" t="s">
        <v>258</v>
      </c>
      <c r="G13" s="39">
        <f>H13+I13+J13</f>
        <v>125267</v>
      </c>
      <c r="H13" s="130">
        <f>H14</f>
        <v>101236.8</v>
      </c>
      <c r="I13" s="39">
        <f>I14</f>
        <v>0</v>
      </c>
      <c r="J13" s="39">
        <f>J14</f>
        <v>24030.2</v>
      </c>
      <c r="K13" s="130"/>
      <c r="L13" s="39">
        <f>M13+N13+O13</f>
        <v>0</v>
      </c>
      <c r="M13" s="130">
        <f>M14</f>
        <v>0</v>
      </c>
      <c r="N13" s="39">
        <f>N14</f>
        <v>0</v>
      </c>
      <c r="O13" s="39">
        <f>O14</f>
        <v>0</v>
      </c>
      <c r="P13" s="39">
        <f>Q13+R13+S13</f>
        <v>0</v>
      </c>
      <c r="Q13" s="130">
        <f>Q14</f>
        <v>0</v>
      </c>
      <c r="R13" s="39">
        <f>R14</f>
        <v>0</v>
      </c>
      <c r="S13" s="39">
        <f>S14</f>
        <v>0</v>
      </c>
      <c r="T13" s="39"/>
      <c r="U13" s="39"/>
    </row>
    <row r="14" spans="1:21" ht="117.75" customHeight="1">
      <c r="A14" s="105" t="s">
        <v>354</v>
      </c>
      <c r="B14" s="120"/>
      <c r="C14" s="120"/>
      <c r="D14" s="120"/>
      <c r="E14" s="39"/>
      <c r="F14" s="120"/>
      <c r="G14" s="121"/>
      <c r="H14" s="133">
        <v>101236.8</v>
      </c>
      <c r="I14" s="121">
        <v>0</v>
      </c>
      <c r="J14" s="121">
        <v>24030.2</v>
      </c>
      <c r="K14" s="133">
        <v>0</v>
      </c>
      <c r="L14" s="121"/>
      <c r="M14" s="133">
        <v>0</v>
      </c>
      <c r="N14" s="121">
        <v>0</v>
      </c>
      <c r="O14" s="121">
        <v>0</v>
      </c>
      <c r="P14" s="121"/>
      <c r="Q14" s="131">
        <v>0</v>
      </c>
      <c r="R14" s="121">
        <v>0</v>
      </c>
      <c r="S14" s="121">
        <v>0</v>
      </c>
      <c r="T14" s="39"/>
      <c r="U14" s="39"/>
    </row>
    <row r="15" spans="1:21" s="177" customFormat="1" ht="67.5">
      <c r="A15" s="79" t="s">
        <v>337</v>
      </c>
      <c r="B15" s="78" t="s">
        <v>281</v>
      </c>
      <c r="C15" s="40"/>
      <c r="D15" s="87"/>
      <c r="E15" s="40"/>
      <c r="F15" s="87"/>
      <c r="G15" s="40">
        <f aca="true" t="shared" si="1" ref="G15:S15">G18</f>
        <v>47542.7</v>
      </c>
      <c r="H15" s="132">
        <f t="shared" si="1"/>
        <v>47080.2</v>
      </c>
      <c r="I15" s="40">
        <f t="shared" si="1"/>
        <v>0</v>
      </c>
      <c r="J15" s="40">
        <f t="shared" si="1"/>
        <v>462.5</v>
      </c>
      <c r="K15" s="132">
        <f t="shared" si="1"/>
        <v>4616.1</v>
      </c>
      <c r="L15" s="40">
        <f t="shared" si="1"/>
        <v>3443.8</v>
      </c>
      <c r="M15" s="132">
        <f t="shared" si="1"/>
        <v>3409.4</v>
      </c>
      <c r="N15" s="40">
        <f t="shared" si="1"/>
        <v>0</v>
      </c>
      <c r="O15" s="40">
        <f t="shared" si="1"/>
        <v>34.4</v>
      </c>
      <c r="P15" s="40">
        <f t="shared" si="1"/>
        <v>3443.8</v>
      </c>
      <c r="Q15" s="132">
        <f t="shared" si="1"/>
        <v>3409.4</v>
      </c>
      <c r="R15" s="40">
        <f t="shared" si="1"/>
        <v>0</v>
      </c>
      <c r="S15" s="40">
        <f t="shared" si="1"/>
        <v>34.4</v>
      </c>
      <c r="T15" s="39">
        <f>M15/K15*100</f>
        <v>73.85888520612637</v>
      </c>
      <c r="U15" s="39">
        <f>Q15/M15*100</f>
        <v>100</v>
      </c>
    </row>
    <row r="16" spans="1:21" ht="12.75">
      <c r="A16" s="39" t="s">
        <v>279</v>
      </c>
      <c r="B16" s="82" t="s">
        <v>281</v>
      </c>
      <c r="C16" s="82" t="s">
        <v>271</v>
      </c>
      <c r="D16" s="82"/>
      <c r="E16" s="39"/>
      <c r="F16" s="82"/>
      <c r="G16" s="39"/>
      <c r="H16" s="130"/>
      <c r="I16" s="39"/>
      <c r="J16" s="39"/>
      <c r="K16" s="130"/>
      <c r="L16" s="39"/>
      <c r="M16" s="130"/>
      <c r="N16" s="39"/>
      <c r="O16" s="39"/>
      <c r="P16" s="39"/>
      <c r="Q16" s="130"/>
      <c r="R16" s="39"/>
      <c r="S16" s="39"/>
      <c r="T16" s="39"/>
      <c r="U16" s="39"/>
    </row>
    <row r="17" spans="1:21" ht="12.75">
      <c r="A17" s="39" t="s">
        <v>282</v>
      </c>
      <c r="B17" s="82" t="s">
        <v>281</v>
      </c>
      <c r="C17" s="82" t="s">
        <v>271</v>
      </c>
      <c r="D17" s="82" t="s">
        <v>263</v>
      </c>
      <c r="E17" s="39"/>
      <c r="F17" s="81"/>
      <c r="G17" s="39"/>
      <c r="H17" s="130"/>
      <c r="I17" s="39"/>
      <c r="J17" s="39"/>
      <c r="K17" s="130"/>
      <c r="L17" s="39"/>
      <c r="M17" s="130"/>
      <c r="N17" s="39"/>
      <c r="O17" s="39"/>
      <c r="P17" s="39"/>
      <c r="Q17" s="130"/>
      <c r="R17" s="39"/>
      <c r="S17" s="39"/>
      <c r="T17" s="39"/>
      <c r="U17" s="39"/>
    </row>
    <row r="18" spans="1:21" ht="25.5">
      <c r="A18" s="41" t="s">
        <v>342</v>
      </c>
      <c r="B18" s="82" t="s">
        <v>281</v>
      </c>
      <c r="C18" s="82" t="s">
        <v>271</v>
      </c>
      <c r="D18" s="82" t="s">
        <v>263</v>
      </c>
      <c r="E18" s="39" t="s">
        <v>344</v>
      </c>
      <c r="F18" s="81"/>
      <c r="G18" s="39">
        <f aca="true" t="shared" si="2" ref="G18:S18">G19</f>
        <v>47542.7</v>
      </c>
      <c r="H18" s="130">
        <f t="shared" si="2"/>
        <v>47080.2</v>
      </c>
      <c r="I18" s="39">
        <f t="shared" si="2"/>
        <v>0</v>
      </c>
      <c r="J18" s="39">
        <f t="shared" si="2"/>
        <v>462.5</v>
      </c>
      <c r="K18" s="130">
        <f t="shared" si="2"/>
        <v>4616.1</v>
      </c>
      <c r="L18" s="39">
        <f t="shared" si="2"/>
        <v>3443.8</v>
      </c>
      <c r="M18" s="130">
        <f t="shared" si="2"/>
        <v>3409.4</v>
      </c>
      <c r="N18" s="39">
        <f t="shared" si="2"/>
        <v>0</v>
      </c>
      <c r="O18" s="39">
        <f t="shared" si="2"/>
        <v>34.4</v>
      </c>
      <c r="P18" s="39">
        <f t="shared" si="2"/>
        <v>3443.8</v>
      </c>
      <c r="Q18" s="130">
        <f t="shared" si="2"/>
        <v>3409.4</v>
      </c>
      <c r="R18" s="39">
        <f t="shared" si="2"/>
        <v>0</v>
      </c>
      <c r="S18" s="39">
        <f t="shared" si="2"/>
        <v>34.4</v>
      </c>
      <c r="T18" s="39"/>
      <c r="U18" s="39"/>
    </row>
    <row r="19" spans="1:21" ht="76.5">
      <c r="A19" s="41" t="s">
        <v>353</v>
      </c>
      <c r="B19" s="82" t="s">
        <v>281</v>
      </c>
      <c r="C19" s="82" t="s">
        <v>271</v>
      </c>
      <c r="D19" s="82" t="s">
        <v>263</v>
      </c>
      <c r="E19" s="39" t="s">
        <v>343</v>
      </c>
      <c r="F19" s="81"/>
      <c r="G19" s="39">
        <f>H19+I19+J19</f>
        <v>47542.7</v>
      </c>
      <c r="H19" s="130">
        <f>H20+H26</f>
        <v>47080.2</v>
      </c>
      <c r="I19" s="39">
        <f>I20+I26</f>
        <v>0</v>
      </c>
      <c r="J19" s="39">
        <f>J20+J26</f>
        <v>462.5</v>
      </c>
      <c r="K19" s="130">
        <f>K20+K26</f>
        <v>4616.1</v>
      </c>
      <c r="L19" s="39">
        <f>M19+N19+O19</f>
        <v>3443.8</v>
      </c>
      <c r="M19" s="130">
        <f>M20+M26</f>
        <v>3409.4</v>
      </c>
      <c r="N19" s="39">
        <f>N20+N26</f>
        <v>0</v>
      </c>
      <c r="O19" s="39">
        <f>O20+O26</f>
        <v>34.4</v>
      </c>
      <c r="P19" s="39">
        <f>Q19+R19+S19</f>
        <v>3443.8</v>
      </c>
      <c r="Q19" s="130">
        <f>Q20+Q26</f>
        <v>3409.4</v>
      </c>
      <c r="R19" s="39">
        <f>R20+R26</f>
        <v>0</v>
      </c>
      <c r="S19" s="39">
        <f>S20+S26</f>
        <v>34.4</v>
      </c>
      <c r="T19" s="39"/>
      <c r="U19" s="39"/>
    </row>
    <row r="20" spans="1:21" ht="12.75">
      <c r="A20" s="39" t="s">
        <v>324</v>
      </c>
      <c r="B20" s="82" t="s">
        <v>281</v>
      </c>
      <c r="C20" s="82" t="s">
        <v>271</v>
      </c>
      <c r="D20" s="82" t="s">
        <v>263</v>
      </c>
      <c r="E20" s="39" t="s">
        <v>343</v>
      </c>
      <c r="F20" s="82" t="s">
        <v>276</v>
      </c>
      <c r="G20" s="39">
        <f>H20+I20+J20</f>
        <v>46253.1</v>
      </c>
      <c r="H20" s="130">
        <f>H21+H22+H23+H24+H25</f>
        <v>45790.6</v>
      </c>
      <c r="I20" s="110">
        <f>I21+I22+I23+I24+I25</f>
        <v>0</v>
      </c>
      <c r="J20" s="110">
        <f>J21+J22+J23+J24+J25</f>
        <v>462.5</v>
      </c>
      <c r="K20" s="130">
        <f>K21+K22+K23+K24+K25</f>
        <v>4616.1</v>
      </c>
      <c r="L20" s="39">
        <f>M20+N20+O20</f>
        <v>3443.8</v>
      </c>
      <c r="M20" s="130">
        <f>M21+M22+M23+M24+M25</f>
        <v>3409.4</v>
      </c>
      <c r="N20" s="110">
        <f>N21+N22+N23+N24+N25</f>
        <v>0</v>
      </c>
      <c r="O20" s="110">
        <f>O21+O22+O23+O24+O25</f>
        <v>34.4</v>
      </c>
      <c r="P20" s="39">
        <f>Q20+R20+S20</f>
        <v>3443.8</v>
      </c>
      <c r="Q20" s="130">
        <f>Q21+Q22+Q23+Q24+Q25</f>
        <v>3409.4</v>
      </c>
      <c r="R20" s="110">
        <f>R21+R22+R23+R24+R25</f>
        <v>0</v>
      </c>
      <c r="S20" s="110">
        <f>S21+S22+S23+S24+S25</f>
        <v>34.4</v>
      </c>
      <c r="T20" s="39">
        <f>M20/K20*100</f>
        <v>73.85888520612637</v>
      </c>
      <c r="U20" s="39">
        <f>Q20/M20*100</f>
        <v>100</v>
      </c>
    </row>
    <row r="21" spans="1:21" s="178" customFormat="1" ht="114.75">
      <c r="A21" s="179" t="s">
        <v>355</v>
      </c>
      <c r="B21" s="102"/>
      <c r="C21" s="102"/>
      <c r="D21" s="102"/>
      <c r="E21" s="103"/>
      <c r="F21" s="102"/>
      <c r="G21" s="103"/>
      <c r="H21" s="131">
        <v>12543</v>
      </c>
      <c r="I21" s="103">
        <v>0</v>
      </c>
      <c r="J21" s="103">
        <v>126.7</v>
      </c>
      <c r="K21" s="131">
        <v>4616.1</v>
      </c>
      <c r="L21" s="103"/>
      <c r="M21" s="131">
        <v>3409.4</v>
      </c>
      <c r="N21" s="103">
        <v>0</v>
      </c>
      <c r="O21" s="103">
        <v>34.4</v>
      </c>
      <c r="P21" s="103"/>
      <c r="Q21" s="131">
        <v>3409.4</v>
      </c>
      <c r="R21" s="103">
        <v>0</v>
      </c>
      <c r="S21" s="103">
        <v>34.4</v>
      </c>
      <c r="T21" s="103"/>
      <c r="U21" s="103"/>
    </row>
    <row r="22" spans="1:21" s="178" customFormat="1" ht="76.5">
      <c r="A22" s="179" t="s">
        <v>356</v>
      </c>
      <c r="B22" s="102"/>
      <c r="C22" s="102"/>
      <c r="D22" s="102"/>
      <c r="E22" s="103"/>
      <c r="F22" s="102"/>
      <c r="G22" s="103"/>
      <c r="H22" s="131">
        <v>12553.9</v>
      </c>
      <c r="I22" s="103">
        <v>0</v>
      </c>
      <c r="J22" s="103">
        <v>126.8</v>
      </c>
      <c r="K22" s="131">
        <v>0</v>
      </c>
      <c r="L22" s="103"/>
      <c r="M22" s="131">
        <v>0</v>
      </c>
      <c r="N22" s="103">
        <v>0</v>
      </c>
      <c r="O22" s="103">
        <v>0</v>
      </c>
      <c r="P22" s="103"/>
      <c r="Q22" s="131">
        <v>0</v>
      </c>
      <c r="R22" s="103">
        <v>0</v>
      </c>
      <c r="S22" s="103">
        <v>0</v>
      </c>
      <c r="T22" s="103"/>
      <c r="U22" s="103"/>
    </row>
    <row r="23" spans="1:21" s="178" customFormat="1" ht="114.75">
      <c r="A23" s="179" t="s">
        <v>357</v>
      </c>
      <c r="B23" s="102"/>
      <c r="C23" s="102"/>
      <c r="D23" s="102"/>
      <c r="E23" s="103"/>
      <c r="F23" s="102"/>
      <c r="G23" s="103"/>
      <c r="H23" s="131">
        <v>9556.5</v>
      </c>
      <c r="I23" s="103">
        <v>0</v>
      </c>
      <c r="J23" s="103">
        <v>96.5</v>
      </c>
      <c r="K23" s="131">
        <v>0</v>
      </c>
      <c r="L23" s="103"/>
      <c r="M23" s="131">
        <v>0</v>
      </c>
      <c r="N23" s="103">
        <v>0</v>
      </c>
      <c r="O23" s="103">
        <v>0</v>
      </c>
      <c r="P23" s="103"/>
      <c r="Q23" s="131">
        <v>0</v>
      </c>
      <c r="R23" s="103">
        <v>0</v>
      </c>
      <c r="S23" s="103">
        <v>0</v>
      </c>
      <c r="T23" s="103"/>
      <c r="U23" s="103"/>
    </row>
    <row r="24" spans="1:21" ht="84">
      <c r="A24" s="105" t="s">
        <v>384</v>
      </c>
      <c r="B24" s="102"/>
      <c r="C24" s="102"/>
      <c r="D24" s="102"/>
      <c r="E24" s="39"/>
      <c r="F24" s="102"/>
      <c r="G24" s="103"/>
      <c r="H24" s="131">
        <v>446.1</v>
      </c>
      <c r="I24" s="103">
        <v>0</v>
      </c>
      <c r="J24" s="103">
        <v>4.5</v>
      </c>
      <c r="K24" s="131">
        <v>0</v>
      </c>
      <c r="L24" s="103"/>
      <c r="M24" s="131">
        <v>0</v>
      </c>
      <c r="N24" s="103">
        <v>0</v>
      </c>
      <c r="O24" s="103">
        <v>0</v>
      </c>
      <c r="P24" s="103"/>
      <c r="Q24" s="131">
        <v>0</v>
      </c>
      <c r="R24" s="103">
        <v>0</v>
      </c>
      <c r="S24" s="103">
        <v>0</v>
      </c>
      <c r="T24" s="39"/>
      <c r="U24" s="39"/>
    </row>
    <row r="25" spans="1:21" ht="48">
      <c r="A25" s="105" t="s">
        <v>151</v>
      </c>
      <c r="B25" s="102"/>
      <c r="C25" s="102"/>
      <c r="D25" s="102"/>
      <c r="E25" s="39"/>
      <c r="F25" s="102"/>
      <c r="G25" s="103"/>
      <c r="H25" s="131">
        <v>10691.1</v>
      </c>
      <c r="I25" s="103">
        <v>0</v>
      </c>
      <c r="J25" s="103">
        <v>108</v>
      </c>
      <c r="K25" s="131">
        <v>0</v>
      </c>
      <c r="L25" s="103"/>
      <c r="M25" s="131">
        <v>0</v>
      </c>
      <c r="N25" s="103">
        <v>0</v>
      </c>
      <c r="O25" s="103">
        <v>0</v>
      </c>
      <c r="P25" s="103"/>
      <c r="Q25" s="131">
        <v>0</v>
      </c>
      <c r="R25" s="103">
        <v>0</v>
      </c>
      <c r="S25" s="103">
        <v>0</v>
      </c>
      <c r="T25" s="39"/>
      <c r="U25" s="39"/>
    </row>
    <row r="26" spans="1:21" ht="12.75">
      <c r="A26" s="39" t="s">
        <v>248</v>
      </c>
      <c r="B26" s="82" t="s">
        <v>281</v>
      </c>
      <c r="C26" s="82" t="s">
        <v>271</v>
      </c>
      <c r="D26" s="82" t="s">
        <v>269</v>
      </c>
      <c r="E26" s="39" t="s">
        <v>343</v>
      </c>
      <c r="F26" s="82" t="s">
        <v>249</v>
      </c>
      <c r="G26" s="39">
        <f>H26+I26+J26</f>
        <v>1289.6</v>
      </c>
      <c r="H26" s="130">
        <f>SUM(H27+H28)</f>
        <v>1289.6</v>
      </c>
      <c r="I26" s="39">
        <f>I27+I28</f>
        <v>0</v>
      </c>
      <c r="J26" s="39">
        <f>J27+J28</f>
        <v>0</v>
      </c>
      <c r="K26" s="130">
        <f>SUM(K27+K28)</f>
        <v>0</v>
      </c>
      <c r="L26" s="110">
        <f>M26+N26+O26</f>
        <v>0</v>
      </c>
      <c r="M26" s="130">
        <f>M27+M28</f>
        <v>0</v>
      </c>
      <c r="N26" s="39">
        <f>N27+N28</f>
        <v>0</v>
      </c>
      <c r="O26" s="39">
        <f>O27+O28</f>
        <v>0</v>
      </c>
      <c r="P26" s="39">
        <f>Q26+R26+S26</f>
        <v>0</v>
      </c>
      <c r="Q26" s="130">
        <f>SUM(Q27+Q28)</f>
        <v>0</v>
      </c>
      <c r="R26" s="39">
        <f>SUM(R27+R28)</f>
        <v>0</v>
      </c>
      <c r="S26" s="39">
        <f>SUM(S27+S28)</f>
        <v>0</v>
      </c>
      <c r="T26" s="115"/>
      <c r="U26" s="39"/>
    </row>
    <row r="27" spans="1:21" ht="48">
      <c r="A27" s="105" t="s">
        <v>385</v>
      </c>
      <c r="B27" s="120"/>
      <c r="C27" s="120"/>
      <c r="D27" s="120"/>
      <c r="E27" s="39"/>
      <c r="F27" s="120"/>
      <c r="G27" s="121"/>
      <c r="H27" s="133">
        <v>927.9</v>
      </c>
      <c r="I27" s="115">
        <v>0</v>
      </c>
      <c r="J27" s="115">
        <v>0</v>
      </c>
      <c r="K27" s="134">
        <v>0</v>
      </c>
      <c r="L27" s="111"/>
      <c r="M27" s="134">
        <v>0</v>
      </c>
      <c r="N27" s="111">
        <v>0</v>
      </c>
      <c r="O27" s="111">
        <v>0</v>
      </c>
      <c r="P27" s="111"/>
      <c r="Q27" s="134">
        <v>0</v>
      </c>
      <c r="R27" s="115">
        <v>0</v>
      </c>
      <c r="S27" s="115">
        <v>0</v>
      </c>
      <c r="T27" s="39"/>
      <c r="U27" s="39"/>
    </row>
    <row r="28" spans="1:21" ht="24">
      <c r="A28" s="180" t="s">
        <v>386</v>
      </c>
      <c r="B28" s="181"/>
      <c r="C28" s="39"/>
      <c r="D28" s="81"/>
      <c r="E28" s="39"/>
      <c r="F28" s="81"/>
      <c r="G28" s="111"/>
      <c r="H28" s="134">
        <v>361.7</v>
      </c>
      <c r="I28" s="115">
        <v>0</v>
      </c>
      <c r="J28" s="115">
        <v>0</v>
      </c>
      <c r="K28" s="134">
        <v>0</v>
      </c>
      <c r="L28" s="111"/>
      <c r="M28" s="134">
        <v>0</v>
      </c>
      <c r="N28" s="111">
        <v>0</v>
      </c>
      <c r="O28" s="111">
        <v>0</v>
      </c>
      <c r="P28" s="111"/>
      <c r="Q28" s="134">
        <v>0</v>
      </c>
      <c r="R28" s="115">
        <v>0</v>
      </c>
      <c r="S28" s="115">
        <v>0</v>
      </c>
      <c r="T28" s="115"/>
      <c r="U28" s="115"/>
    </row>
  </sheetData>
  <mergeCells count="20">
    <mergeCell ref="U4:U6"/>
    <mergeCell ref="P4:S4"/>
    <mergeCell ref="P5:P6"/>
    <mergeCell ref="Q5:S5"/>
    <mergeCell ref="T4:T6"/>
    <mergeCell ref="G4:J4"/>
    <mergeCell ref="K4:K6"/>
    <mergeCell ref="L4:O4"/>
    <mergeCell ref="L5:L6"/>
    <mergeCell ref="M5:O5"/>
    <mergeCell ref="A1:U1"/>
    <mergeCell ref="A2:U2"/>
    <mergeCell ref="A3:U3"/>
    <mergeCell ref="B4:B6"/>
    <mergeCell ref="C4:C6"/>
    <mergeCell ref="D4:D6"/>
    <mergeCell ref="E4:E6"/>
    <mergeCell ref="F4:F6"/>
    <mergeCell ref="G5:G6"/>
    <mergeCell ref="H5:J5"/>
  </mergeCells>
  <printOptions/>
  <pageMargins left="0" right="0" top="0.984251968503937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Z240"/>
  <sheetViews>
    <sheetView zoomScale="130" zoomScaleNormal="130" workbookViewId="0" topLeftCell="A1">
      <pane xSplit="2" ySplit="7" topLeftCell="C16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80" sqref="A180"/>
    </sheetView>
  </sheetViews>
  <sheetFormatPr defaultColWidth="9.00390625" defaultRowHeight="12.75" outlineLevelRow="1" outlineLevelCol="1"/>
  <cols>
    <col min="1" max="1" width="2.75390625" style="128" customWidth="1"/>
    <col min="2" max="2" width="39.125" style="23" customWidth="1"/>
    <col min="3" max="3" width="7.875" style="23" customWidth="1" outlineLevel="1"/>
    <col min="4" max="4" width="3.125" style="24" customWidth="1" outlineLevel="1"/>
    <col min="5" max="5" width="3.25390625" style="23" customWidth="1" outlineLevel="1"/>
    <col min="6" max="6" width="3.625" style="24" customWidth="1" outlineLevel="1"/>
    <col min="7" max="7" width="4.125" style="24" customWidth="1" outlineLevel="1"/>
    <col min="8" max="9" width="8.375" style="23" customWidth="1"/>
    <col min="10" max="10" width="9.125" style="23" customWidth="1"/>
    <col min="11" max="12" width="7.125" style="23" customWidth="1"/>
    <col min="13" max="13" width="9.625" style="23" customWidth="1"/>
    <col min="14" max="15" width="8.625" style="23" customWidth="1"/>
    <col min="16" max="16" width="8.375" style="30" customWidth="1"/>
    <col min="17" max="18" width="6.875" style="108" customWidth="1"/>
    <col min="19" max="20" width="8.875" style="45" customWidth="1"/>
    <col min="21" max="21" width="8.25390625" style="107" customWidth="1"/>
    <col min="22" max="23" width="6.375" style="108" customWidth="1"/>
    <col min="24" max="24" width="4.875" style="45" customWidth="1"/>
    <col min="25" max="25" width="4.25390625" style="23" customWidth="1"/>
    <col min="26" max="16384" width="9.125" style="23" customWidth="1"/>
  </cols>
  <sheetData>
    <row r="1" spans="10:24" ht="11.25">
      <c r="J1" s="25" t="s">
        <v>313</v>
      </c>
      <c r="Q1" s="26"/>
      <c r="R1" s="26"/>
      <c r="S1" s="23"/>
      <c r="T1" s="23"/>
      <c r="U1" s="30"/>
      <c r="V1" s="26"/>
      <c r="W1" s="26"/>
      <c r="X1" s="23"/>
    </row>
    <row r="2" spans="10:24" ht="11.25">
      <c r="J2" s="25" t="s">
        <v>323</v>
      </c>
      <c r="Q2" s="26"/>
      <c r="R2" s="26"/>
      <c r="S2" s="23"/>
      <c r="T2" s="23"/>
      <c r="U2" s="30"/>
      <c r="V2" s="26"/>
      <c r="W2" s="26"/>
      <c r="X2" s="23"/>
    </row>
    <row r="3" spans="10:24" ht="11.25">
      <c r="J3" s="25" t="s">
        <v>152</v>
      </c>
      <c r="Q3" s="26"/>
      <c r="R3" s="26"/>
      <c r="S3" s="23"/>
      <c r="T3" s="23"/>
      <c r="U3" s="30"/>
      <c r="V3" s="26"/>
      <c r="W3" s="26"/>
      <c r="X3" s="23"/>
    </row>
    <row r="4" spans="17:24" ht="11.25">
      <c r="Q4" s="26"/>
      <c r="R4" s="26"/>
      <c r="S4" s="23"/>
      <c r="T4" s="23"/>
      <c r="U4" s="30"/>
      <c r="V4" s="26"/>
      <c r="W4" s="26"/>
      <c r="X4" s="23"/>
    </row>
    <row r="5" spans="1:25" s="13" customFormat="1" ht="11.25" customHeight="1">
      <c r="A5" s="625" t="s">
        <v>146</v>
      </c>
      <c r="B5" s="598"/>
      <c r="C5" s="613" t="s">
        <v>213</v>
      </c>
      <c r="D5" s="613" t="s">
        <v>214</v>
      </c>
      <c r="E5" s="613" t="s">
        <v>215</v>
      </c>
      <c r="F5" s="613" t="s">
        <v>216</v>
      </c>
      <c r="G5" s="613" t="s">
        <v>218</v>
      </c>
      <c r="H5" s="33"/>
      <c r="I5" s="578"/>
      <c r="J5" s="579" t="s">
        <v>300</v>
      </c>
      <c r="K5" s="208"/>
      <c r="L5" s="208"/>
      <c r="M5" s="616" t="s">
        <v>188</v>
      </c>
      <c r="N5" s="33"/>
      <c r="O5" s="412"/>
      <c r="P5" s="135" t="s">
        <v>301</v>
      </c>
      <c r="Q5" s="167"/>
      <c r="R5" s="210"/>
      <c r="S5" s="33"/>
      <c r="T5" s="578"/>
      <c r="U5" s="580" t="s">
        <v>302</v>
      </c>
      <c r="V5" s="211"/>
      <c r="W5" s="211"/>
      <c r="X5" s="610" t="s">
        <v>339</v>
      </c>
      <c r="Y5" s="607" t="s">
        <v>292</v>
      </c>
    </row>
    <row r="6" spans="1:25" s="13" customFormat="1" ht="11.25">
      <c r="A6" s="626"/>
      <c r="B6" s="599"/>
      <c r="C6" s="614"/>
      <c r="D6" s="614"/>
      <c r="E6" s="614"/>
      <c r="F6" s="614"/>
      <c r="G6" s="614"/>
      <c r="H6" s="35"/>
      <c r="I6" s="33"/>
      <c r="J6" s="619" t="s">
        <v>303</v>
      </c>
      <c r="K6" s="620"/>
      <c r="L6" s="621"/>
      <c r="M6" s="617"/>
      <c r="N6" s="35"/>
      <c r="O6" s="33"/>
      <c r="P6" s="622" t="s">
        <v>303</v>
      </c>
      <c r="Q6" s="623"/>
      <c r="R6" s="624"/>
      <c r="S6" s="35"/>
      <c r="T6" s="33"/>
      <c r="U6" s="622" t="s">
        <v>303</v>
      </c>
      <c r="V6" s="623"/>
      <c r="W6" s="624"/>
      <c r="X6" s="611"/>
      <c r="Y6" s="608"/>
    </row>
    <row r="7" spans="1:25" s="13" customFormat="1" ht="33.75">
      <c r="A7" s="627"/>
      <c r="B7" s="600"/>
      <c r="C7" s="615"/>
      <c r="D7" s="615"/>
      <c r="E7" s="615"/>
      <c r="F7" s="615"/>
      <c r="G7" s="615"/>
      <c r="H7" s="38" t="s">
        <v>304</v>
      </c>
      <c r="I7" s="38" t="s">
        <v>389</v>
      </c>
      <c r="J7" s="36" t="s">
        <v>305</v>
      </c>
      <c r="K7" s="209" t="s">
        <v>306</v>
      </c>
      <c r="L7" s="209" t="s">
        <v>443</v>
      </c>
      <c r="M7" s="618"/>
      <c r="N7" s="38" t="s">
        <v>338</v>
      </c>
      <c r="O7" s="38" t="s">
        <v>389</v>
      </c>
      <c r="P7" s="136" t="s">
        <v>305</v>
      </c>
      <c r="Q7" s="209" t="s">
        <v>306</v>
      </c>
      <c r="R7" s="209" t="s">
        <v>443</v>
      </c>
      <c r="S7" s="38" t="s">
        <v>338</v>
      </c>
      <c r="T7" s="38" t="s">
        <v>389</v>
      </c>
      <c r="U7" s="136" t="s">
        <v>305</v>
      </c>
      <c r="V7" s="209" t="s">
        <v>306</v>
      </c>
      <c r="W7" s="209" t="s">
        <v>443</v>
      </c>
      <c r="X7" s="612"/>
      <c r="Y7" s="609"/>
    </row>
    <row r="8" spans="2:26" ht="21">
      <c r="B8" s="603" t="s">
        <v>198</v>
      </c>
      <c r="C8" s="534"/>
      <c r="D8" s="535"/>
      <c r="E8" s="534"/>
      <c r="F8" s="535"/>
      <c r="G8" s="535"/>
      <c r="H8" s="536">
        <f>J8+K8+0.1</f>
        <v>4821126.6</v>
      </c>
      <c r="I8" s="537">
        <f>I14+I65+I93+I112+I121+I141+I151+I174</f>
        <v>314.996</v>
      </c>
      <c r="J8" s="537">
        <f>J14+J65+J93+J112+J121+J141+J151+J174</f>
        <v>4755417.3</v>
      </c>
      <c r="K8" s="537">
        <f>K14+K65+K93+K112+K121+K141+K151+K174</f>
        <v>65709.2</v>
      </c>
      <c r="L8" s="537">
        <f>L14+L65+L93+L112+L121+L141+L151+L174</f>
        <v>53277.6</v>
      </c>
      <c r="M8" s="537">
        <f>M14+M65+M93+M112+M121+M141+M151+M174</f>
        <v>870956.8</v>
      </c>
      <c r="N8" s="537">
        <f>O8+P8+Q8+R8</f>
        <v>643269.8999999999</v>
      </c>
      <c r="O8" s="537">
        <f>O14+O65+O93+O112+O121+O141+O151+O174</f>
        <v>0</v>
      </c>
      <c r="P8" s="537">
        <f>P14+P65+P93+P112+P121+P141+P151+P174</f>
        <v>610528.2999999999</v>
      </c>
      <c r="Q8" s="537">
        <f>Q14+Q65+Q93+Q112+Q121+Q141+Q151+Q174</f>
        <v>2400.7</v>
      </c>
      <c r="R8" s="537">
        <f>R14+R65+R93+R112+R121+R141+R151+R174</f>
        <v>30340.9</v>
      </c>
      <c r="S8" s="537">
        <f>T8+U8+V8+W8</f>
        <v>643269.7999999999</v>
      </c>
      <c r="T8" s="537">
        <f>T14+T65+T93+T112+T121+T141+T151+T174</f>
        <v>0</v>
      </c>
      <c r="U8" s="537">
        <f>U14+U65+U93+U112+U121+U141+U151+U174</f>
        <v>610528.2</v>
      </c>
      <c r="V8" s="537">
        <f>V14+V65+V93+V112+V121+V141+V151+V174</f>
        <v>2400.7</v>
      </c>
      <c r="W8" s="537">
        <f>W14+W65+W93+W112+W121+W141+W151+W174</f>
        <v>30340.9</v>
      </c>
      <c r="X8" s="223">
        <f>P8/J8*100</f>
        <v>12.83858516475515</v>
      </c>
      <c r="Y8" s="223">
        <f>(S8/N8)*100</f>
        <v>99.99998445442574</v>
      </c>
      <c r="Z8" s="164"/>
    </row>
    <row r="9" spans="2:26" ht="11.25" hidden="1" outlineLevel="1">
      <c r="B9" s="538" t="s">
        <v>138</v>
      </c>
      <c r="C9" s="534"/>
      <c r="D9" s="535"/>
      <c r="E9" s="534"/>
      <c r="F9" s="535"/>
      <c r="G9" s="535"/>
      <c r="H9" s="536"/>
      <c r="I9" s="537"/>
      <c r="J9" s="537"/>
      <c r="K9" s="537"/>
      <c r="L9" s="537"/>
      <c r="M9" s="537"/>
      <c r="N9" s="537" t="e">
        <f aca="true" t="shared" si="0" ref="N9:V9">N10+N11</f>
        <v>#REF!</v>
      </c>
      <c r="O9" s="537"/>
      <c r="P9" s="537" t="e">
        <f t="shared" si="0"/>
        <v>#REF!</v>
      </c>
      <c r="Q9" s="537" t="e">
        <f t="shared" si="0"/>
        <v>#REF!</v>
      </c>
      <c r="R9" s="537"/>
      <c r="S9" s="537" t="e">
        <f t="shared" si="0"/>
        <v>#REF!</v>
      </c>
      <c r="T9" s="537"/>
      <c r="U9" s="537" t="e">
        <f t="shared" si="0"/>
        <v>#REF!</v>
      </c>
      <c r="V9" s="537" t="e">
        <f t="shared" si="0"/>
        <v>#REF!</v>
      </c>
      <c r="W9" s="537"/>
      <c r="X9" s="223"/>
      <c r="Y9" s="219" t="e">
        <f>(S9/N9)*100</f>
        <v>#REF!</v>
      </c>
      <c r="Z9" s="164"/>
    </row>
    <row r="10" spans="2:26" ht="11.25" hidden="1" outlineLevel="1">
      <c r="B10" s="539" t="s">
        <v>139</v>
      </c>
      <c r="C10" s="534"/>
      <c r="D10" s="535"/>
      <c r="E10" s="534"/>
      <c r="F10" s="535"/>
      <c r="G10" s="535"/>
      <c r="H10" s="536"/>
      <c r="I10" s="537"/>
      <c r="J10" s="537"/>
      <c r="K10" s="537"/>
      <c r="L10" s="537"/>
      <c r="M10" s="537"/>
      <c r="N10" s="537" t="e">
        <f>N22+N33+N70+N156+N160+N167+#REF!+#REF!+#REF!</f>
        <v>#REF!</v>
      </c>
      <c r="O10" s="537"/>
      <c r="P10" s="537" t="e">
        <f>P22+P33+P70+P156+P160+P167+#REF!+#REF!+#REF!</f>
        <v>#REF!</v>
      </c>
      <c r="Q10" s="537" t="e">
        <f>Q22+Q33+Q70+Q156+Q160+Q167+#REF!+#REF!+#REF!+#REF!</f>
        <v>#REF!</v>
      </c>
      <c r="R10" s="537"/>
      <c r="S10" s="537" t="e">
        <f>S22+S33+S70+S156+S160+S167+#REF!+#REF!+#REF!</f>
        <v>#REF!</v>
      </c>
      <c r="T10" s="537"/>
      <c r="U10" s="537" t="e">
        <f>U22+U33+U70+U156+U160+U167+#REF!+#REF!+#REF!</f>
        <v>#REF!</v>
      </c>
      <c r="V10" s="537" t="e">
        <f>V22+V33+V70+V156+V160+V167+#REF!+#REF!+#REF!+#REF!</f>
        <v>#REF!</v>
      </c>
      <c r="W10" s="537"/>
      <c r="X10" s="223"/>
      <c r="Y10" s="219" t="e">
        <f>(S10/N10)*100</f>
        <v>#REF!</v>
      </c>
      <c r="Z10" s="164"/>
    </row>
    <row r="11" spans="2:26" ht="33.75" hidden="1" outlineLevel="1">
      <c r="B11" s="540" t="s">
        <v>141</v>
      </c>
      <c r="C11" s="534"/>
      <c r="D11" s="535"/>
      <c r="E11" s="534"/>
      <c r="F11" s="535"/>
      <c r="G11" s="535"/>
      <c r="H11" s="536"/>
      <c r="I11" s="537"/>
      <c r="J11" s="537"/>
      <c r="K11" s="537"/>
      <c r="L11" s="537"/>
      <c r="M11" s="537"/>
      <c r="N11" s="537" t="e">
        <f>N24+N36+N44+N71+N88+#REF!+N111+N118+N129</f>
        <v>#REF!</v>
      </c>
      <c r="O11" s="537"/>
      <c r="P11" s="537" t="e">
        <f>P24+P36+P44+P71+P88+#REF!+P111+P118+P129</f>
        <v>#REF!</v>
      </c>
      <c r="Q11" s="537" t="e">
        <f>Q24+Q36+Q44+Q71+Q88+#REF!+Q111+Q118+Q129</f>
        <v>#REF!</v>
      </c>
      <c r="R11" s="537"/>
      <c r="S11" s="537" t="e">
        <f>S24+S36+S44+S71+S88+#REF!+S111+S118+S129</f>
        <v>#REF!</v>
      </c>
      <c r="T11" s="537"/>
      <c r="U11" s="537" t="e">
        <f>U24+U36+U44+U71+U88+#REF!+U111+U118+U129</f>
        <v>#REF!</v>
      </c>
      <c r="V11" s="537" t="e">
        <f>V24+V36+V44+V71+V88+#REF!+V111+V118+V129</f>
        <v>#REF!</v>
      </c>
      <c r="W11" s="537"/>
      <c r="X11" s="223"/>
      <c r="Y11" s="219" t="e">
        <f>(S11/N11)*100</f>
        <v>#REF!</v>
      </c>
      <c r="Z11" s="164"/>
    </row>
    <row r="12" spans="2:26" ht="11.25" outlineLevel="1">
      <c r="B12" s="434" t="s">
        <v>380</v>
      </c>
      <c r="C12" s="534"/>
      <c r="D12" s="535"/>
      <c r="E12" s="534"/>
      <c r="F12" s="535"/>
      <c r="G12" s="535"/>
      <c r="H12" s="536"/>
      <c r="I12" s="537"/>
      <c r="J12" s="537"/>
      <c r="K12" s="537"/>
      <c r="L12" s="537"/>
      <c r="M12" s="537"/>
      <c r="N12" s="537"/>
      <c r="O12" s="537"/>
      <c r="P12" s="537"/>
      <c r="Q12" s="537"/>
      <c r="R12" s="537"/>
      <c r="S12" s="541">
        <f>U12+V12</f>
        <v>2066.8</v>
      </c>
      <c r="T12" s="541"/>
      <c r="U12" s="541">
        <f>U15+U94+U113</f>
        <v>2004.8</v>
      </c>
      <c r="V12" s="541">
        <f>V15+V94+V113</f>
        <v>62</v>
      </c>
      <c r="W12" s="541"/>
      <c r="X12" s="223"/>
      <c r="Y12" s="219"/>
      <c r="Z12" s="164"/>
    </row>
    <row r="13" spans="2:26" ht="11.25" outlineLevel="1">
      <c r="B13" s="418" t="s">
        <v>382</v>
      </c>
      <c r="C13" s="534"/>
      <c r="D13" s="535"/>
      <c r="E13" s="534"/>
      <c r="F13" s="535"/>
      <c r="G13" s="535"/>
      <c r="H13" s="536"/>
      <c r="I13" s="537"/>
      <c r="J13" s="537"/>
      <c r="K13" s="537"/>
      <c r="L13" s="537"/>
      <c r="M13" s="537"/>
      <c r="N13" s="537"/>
      <c r="O13" s="537"/>
      <c r="P13" s="537"/>
      <c r="Q13" s="537"/>
      <c r="R13" s="537"/>
      <c r="S13" s="542">
        <f>U13+V13</f>
        <v>208305</v>
      </c>
      <c r="T13" s="542"/>
      <c r="U13" s="542">
        <f>U16+U66+U95+U114+U122+U152</f>
        <v>203304.5</v>
      </c>
      <c r="V13" s="542">
        <f>V16+V66+V95+V114+V122+V152</f>
        <v>5000.5</v>
      </c>
      <c r="W13" s="542"/>
      <c r="X13" s="223"/>
      <c r="Y13" s="219"/>
      <c r="Z13" s="164"/>
    </row>
    <row r="14" spans="1:26" ht="32.25">
      <c r="A14" s="128">
        <v>1</v>
      </c>
      <c r="B14" s="212" t="s">
        <v>219</v>
      </c>
      <c r="C14" s="432" t="s">
        <v>220</v>
      </c>
      <c r="D14" s="532"/>
      <c r="E14" s="532"/>
      <c r="F14" s="532"/>
      <c r="G14" s="532"/>
      <c r="H14" s="214">
        <f>I14+J14+K14+L14</f>
        <v>2620605.8</v>
      </c>
      <c r="I14" s="214">
        <f>I17+I28+I39+I47+I55+I60</f>
        <v>0</v>
      </c>
      <c r="J14" s="214">
        <f>J17+J28+J39+J47+J55+J60</f>
        <v>2537756.4</v>
      </c>
      <c r="K14" s="214">
        <f>K17+K28+K39+K47+K55+K60</f>
        <v>40021.8</v>
      </c>
      <c r="L14" s="214">
        <f>L17+L28+L39+L47+L55+L60</f>
        <v>42827.6</v>
      </c>
      <c r="M14" s="214">
        <f>M17+M28+M39+M47+M55+M60</f>
        <v>537565.1</v>
      </c>
      <c r="N14" s="214">
        <f>O14+P14+Q14+R14</f>
        <v>456354</v>
      </c>
      <c r="O14" s="214">
        <f>O17+O28+O39+O47+O55+O60</f>
        <v>0</v>
      </c>
      <c r="P14" s="214">
        <f aca="true" t="shared" si="1" ref="P14:W14">P17+P28+P39+P47+P55+P60</f>
        <v>423882.6</v>
      </c>
      <c r="Q14" s="214">
        <f t="shared" si="1"/>
        <v>2130.5</v>
      </c>
      <c r="R14" s="214">
        <f t="shared" si="1"/>
        <v>30340.9</v>
      </c>
      <c r="S14" s="214">
        <f t="shared" si="1"/>
        <v>456353.9</v>
      </c>
      <c r="T14" s="214">
        <f t="shared" si="1"/>
        <v>0</v>
      </c>
      <c r="U14" s="214">
        <f t="shared" si="1"/>
        <v>423882.5</v>
      </c>
      <c r="V14" s="214">
        <f t="shared" si="1"/>
        <v>2130.5</v>
      </c>
      <c r="W14" s="214">
        <f t="shared" si="1"/>
        <v>30340.9</v>
      </c>
      <c r="X14" s="230">
        <f>SUM(P14/M14)*100</f>
        <v>78.85232876911094</v>
      </c>
      <c r="Y14" s="230">
        <f>(S14/N14)*100</f>
        <v>99.9999780871867</v>
      </c>
      <c r="Z14" s="164"/>
    </row>
    <row r="15" spans="3:26" ht="11.25">
      <c r="C15" s="533"/>
      <c r="D15" s="227"/>
      <c r="E15" s="227"/>
      <c r="F15" s="227"/>
      <c r="G15" s="227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426">
        <f>U15+V15</f>
        <v>1394.6</v>
      </c>
      <c r="T15" s="426"/>
      <c r="U15" s="426">
        <f>U29</f>
        <v>1352.8</v>
      </c>
      <c r="V15" s="426">
        <f>V29</f>
        <v>41.8</v>
      </c>
      <c r="W15" s="426"/>
      <c r="X15" s="223"/>
      <c r="Y15" s="219"/>
      <c r="Z15" s="164"/>
    </row>
    <row r="16" spans="3:25" ht="11.25">
      <c r="C16" s="533"/>
      <c r="D16" s="227"/>
      <c r="E16" s="227"/>
      <c r="F16" s="227"/>
      <c r="G16" s="227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410">
        <f>U16+V16</f>
        <v>113106.4</v>
      </c>
      <c r="T16" s="410"/>
      <c r="U16" s="410">
        <f>U18+U40</f>
        <v>109713.2</v>
      </c>
      <c r="V16" s="410">
        <f>V18+V40</f>
        <v>3393.2000000000003</v>
      </c>
      <c r="W16" s="410"/>
      <c r="X16" s="222"/>
      <c r="Y16" s="118"/>
    </row>
    <row r="17" spans="1:25" ht="56.25">
      <c r="A17" s="128" t="s">
        <v>332</v>
      </c>
      <c r="B17" s="520" t="s">
        <v>190</v>
      </c>
      <c r="C17" s="214" t="s">
        <v>221</v>
      </c>
      <c r="D17" s="229"/>
      <c r="E17" s="230"/>
      <c r="F17" s="229"/>
      <c r="G17" s="229"/>
      <c r="H17" s="214">
        <f aca="true" t="shared" si="2" ref="H17:V17">SUM(H19)</f>
        <v>1175706.5</v>
      </c>
      <c r="I17" s="214"/>
      <c r="J17" s="214">
        <f t="shared" si="2"/>
        <v>1145843.5</v>
      </c>
      <c r="K17" s="214">
        <f t="shared" si="2"/>
        <v>29863</v>
      </c>
      <c r="L17" s="214"/>
      <c r="M17" s="214">
        <f t="shared" si="2"/>
        <v>99422.3</v>
      </c>
      <c r="N17" s="214">
        <f t="shared" si="2"/>
        <v>66653.59999999999</v>
      </c>
      <c r="O17" s="214"/>
      <c r="P17" s="214">
        <f t="shared" si="2"/>
        <v>64653.9</v>
      </c>
      <c r="Q17" s="214">
        <f t="shared" si="2"/>
        <v>1999.7</v>
      </c>
      <c r="R17" s="214"/>
      <c r="S17" s="214">
        <f t="shared" si="2"/>
        <v>66653.59999999999</v>
      </c>
      <c r="T17" s="214"/>
      <c r="U17" s="214">
        <f t="shared" si="2"/>
        <v>64653.9</v>
      </c>
      <c r="V17" s="214">
        <f t="shared" si="2"/>
        <v>1999.7</v>
      </c>
      <c r="W17" s="214"/>
      <c r="X17" s="214">
        <f aca="true" t="shared" si="3" ref="X17:X88">SUM(P17/M17)*100</f>
        <v>65.02957585974173</v>
      </c>
      <c r="Y17" s="230">
        <f>(S17/N17)*100</f>
        <v>100</v>
      </c>
    </row>
    <row r="18" spans="2:25" ht="11.25">
      <c r="B18" s="418" t="s">
        <v>382</v>
      </c>
      <c r="C18" s="410"/>
      <c r="D18" s="419"/>
      <c r="E18" s="410"/>
      <c r="F18" s="419"/>
      <c r="G18" s="419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>
        <f>U18+V18</f>
        <v>103523.7</v>
      </c>
      <c r="T18" s="410"/>
      <c r="U18" s="410">
        <f>'5225100'!Q13</f>
        <v>100417.9</v>
      </c>
      <c r="V18" s="410">
        <f>'5225100'!R13</f>
        <v>3105.8</v>
      </c>
      <c r="W18" s="410"/>
      <c r="X18" s="410"/>
      <c r="Y18" s="410"/>
    </row>
    <row r="19" spans="2:25" ht="33.75">
      <c r="B19" s="224" t="s">
        <v>230</v>
      </c>
      <c r="C19" s="118" t="s">
        <v>221</v>
      </c>
      <c r="D19" s="217" t="s">
        <v>231</v>
      </c>
      <c r="E19" s="118"/>
      <c r="F19" s="218"/>
      <c r="G19" s="218"/>
      <c r="H19" s="222">
        <f aca="true" t="shared" si="4" ref="H19:Q20">SUM(H20)</f>
        <v>1175706.5</v>
      </c>
      <c r="I19" s="222"/>
      <c r="J19" s="222">
        <f t="shared" si="4"/>
        <v>1145843.5</v>
      </c>
      <c r="K19" s="222">
        <f t="shared" si="4"/>
        <v>29863</v>
      </c>
      <c r="L19" s="222"/>
      <c r="M19" s="222">
        <f t="shared" si="4"/>
        <v>99422.3</v>
      </c>
      <c r="N19" s="222">
        <f t="shared" si="4"/>
        <v>66653.59999999999</v>
      </c>
      <c r="O19" s="222"/>
      <c r="P19" s="222">
        <f t="shared" si="4"/>
        <v>64653.9</v>
      </c>
      <c r="Q19" s="222">
        <f t="shared" si="4"/>
        <v>1999.7</v>
      </c>
      <c r="R19" s="222"/>
      <c r="S19" s="222">
        <f aca="true" t="shared" si="5" ref="S19:V20">SUM(S20)</f>
        <v>66653.59999999999</v>
      </c>
      <c r="T19" s="222"/>
      <c r="U19" s="222">
        <f t="shared" si="5"/>
        <v>64653.9</v>
      </c>
      <c r="V19" s="222">
        <f t="shared" si="5"/>
        <v>1999.7</v>
      </c>
      <c r="W19" s="222"/>
      <c r="X19" s="118">
        <f t="shared" si="3"/>
        <v>65.02957585974173</v>
      </c>
      <c r="Y19" s="118">
        <f>(S19/N19)*100</f>
        <v>100</v>
      </c>
    </row>
    <row r="20" spans="2:25" ht="11.25">
      <c r="B20" s="521" t="s">
        <v>264</v>
      </c>
      <c r="C20" s="118" t="s">
        <v>221</v>
      </c>
      <c r="D20" s="269" t="s">
        <v>231</v>
      </c>
      <c r="E20" s="269" t="s">
        <v>263</v>
      </c>
      <c r="F20" s="269"/>
      <c r="G20" s="269"/>
      <c r="H20" s="118">
        <f t="shared" si="4"/>
        <v>1175706.5</v>
      </c>
      <c r="I20" s="118"/>
      <c r="J20" s="118">
        <f t="shared" si="4"/>
        <v>1145843.5</v>
      </c>
      <c r="K20" s="118">
        <f t="shared" si="4"/>
        <v>29863</v>
      </c>
      <c r="L20" s="118"/>
      <c r="M20" s="118">
        <f t="shared" si="4"/>
        <v>99422.3</v>
      </c>
      <c r="N20" s="118">
        <f t="shared" si="4"/>
        <v>66653.59999999999</v>
      </c>
      <c r="O20" s="118"/>
      <c r="P20" s="118">
        <f t="shared" si="4"/>
        <v>64653.9</v>
      </c>
      <c r="Q20" s="118">
        <f t="shared" si="4"/>
        <v>1999.7</v>
      </c>
      <c r="R20" s="118"/>
      <c r="S20" s="118">
        <f t="shared" si="5"/>
        <v>66653.59999999999</v>
      </c>
      <c r="T20" s="118"/>
      <c r="U20" s="118">
        <f t="shared" si="5"/>
        <v>64653.9</v>
      </c>
      <c r="V20" s="118">
        <f t="shared" si="5"/>
        <v>1999.7</v>
      </c>
      <c r="W20" s="118"/>
      <c r="X20" s="118">
        <f t="shared" si="3"/>
        <v>65.02957585974173</v>
      </c>
      <c r="Y20" s="118">
        <f>(S20/N20)*100</f>
        <v>100</v>
      </c>
    </row>
    <row r="21" spans="2:25" ht="11.25">
      <c r="B21" s="521" t="s">
        <v>284</v>
      </c>
      <c r="C21" s="118" t="s">
        <v>221</v>
      </c>
      <c r="D21" s="269" t="s">
        <v>231</v>
      </c>
      <c r="E21" s="269" t="s">
        <v>263</v>
      </c>
      <c r="F21" s="269" t="s">
        <v>250</v>
      </c>
      <c r="G21" s="269"/>
      <c r="H21" s="118">
        <f aca="true" t="shared" si="6" ref="H21:V21">SUM(H22+H24)</f>
        <v>1175706.5</v>
      </c>
      <c r="I21" s="118"/>
      <c r="J21" s="118">
        <f t="shared" si="6"/>
        <v>1145843.5</v>
      </c>
      <c r="K21" s="118">
        <f t="shared" si="6"/>
        <v>29863</v>
      </c>
      <c r="L21" s="118"/>
      <c r="M21" s="118">
        <f t="shared" si="6"/>
        <v>99422.3</v>
      </c>
      <c r="N21" s="118">
        <f t="shared" si="6"/>
        <v>66653.59999999999</v>
      </c>
      <c r="O21" s="118"/>
      <c r="P21" s="118">
        <f t="shared" si="6"/>
        <v>64653.9</v>
      </c>
      <c r="Q21" s="118">
        <f t="shared" si="6"/>
        <v>1999.7</v>
      </c>
      <c r="R21" s="118"/>
      <c r="S21" s="118">
        <f t="shared" si="6"/>
        <v>66653.59999999999</v>
      </c>
      <c r="T21" s="118"/>
      <c r="U21" s="118">
        <f t="shared" si="6"/>
        <v>64653.9</v>
      </c>
      <c r="V21" s="118">
        <f t="shared" si="6"/>
        <v>1999.7</v>
      </c>
      <c r="W21" s="118"/>
      <c r="X21" s="118">
        <f t="shared" si="3"/>
        <v>65.02957585974173</v>
      </c>
      <c r="Y21" s="118">
        <f>(S21/N21)*100</f>
        <v>100</v>
      </c>
    </row>
    <row r="22" spans="2:25" ht="11.25">
      <c r="B22" s="530" t="s">
        <v>257</v>
      </c>
      <c r="C22" s="118" t="s">
        <v>221</v>
      </c>
      <c r="D22" s="269" t="s">
        <v>231</v>
      </c>
      <c r="E22" s="269" t="s">
        <v>263</v>
      </c>
      <c r="F22" s="269" t="s">
        <v>250</v>
      </c>
      <c r="G22" s="269" t="s">
        <v>258</v>
      </c>
      <c r="H22" s="118">
        <f aca="true" t="shared" si="7" ref="H22:Q22">SUM(H23)</f>
        <v>180271</v>
      </c>
      <c r="I22" s="118"/>
      <c r="J22" s="118">
        <f t="shared" si="7"/>
        <v>180271</v>
      </c>
      <c r="K22" s="118">
        <f t="shared" si="7"/>
        <v>0</v>
      </c>
      <c r="L22" s="118"/>
      <c r="M22" s="118">
        <f t="shared" si="7"/>
        <v>3129.6</v>
      </c>
      <c r="N22" s="118">
        <f t="shared" si="7"/>
        <v>0</v>
      </c>
      <c r="O22" s="118"/>
      <c r="P22" s="118">
        <f t="shared" si="7"/>
        <v>0</v>
      </c>
      <c r="Q22" s="118">
        <f t="shared" si="7"/>
        <v>0</v>
      </c>
      <c r="R22" s="118"/>
      <c r="S22" s="118">
        <f>SUM(S23)</f>
        <v>0</v>
      </c>
      <c r="T22" s="118"/>
      <c r="U22" s="118">
        <f>SUM(U23)</f>
        <v>0</v>
      </c>
      <c r="V22" s="118">
        <f>SUM(V23)</f>
        <v>0</v>
      </c>
      <c r="W22" s="118"/>
      <c r="X22" s="118">
        <f t="shared" si="3"/>
        <v>0</v>
      </c>
      <c r="Y22" s="118">
        <v>0</v>
      </c>
    </row>
    <row r="23" spans="2:25" ht="22.5">
      <c r="B23" s="216" t="s">
        <v>329</v>
      </c>
      <c r="C23" s="118" t="s">
        <v>221</v>
      </c>
      <c r="D23" s="269" t="s">
        <v>231</v>
      </c>
      <c r="E23" s="269" t="s">
        <v>263</v>
      </c>
      <c r="F23" s="269" t="s">
        <v>250</v>
      </c>
      <c r="G23" s="269" t="s">
        <v>258</v>
      </c>
      <c r="H23" s="118">
        <f>SUM(J23+K23)</f>
        <v>180271</v>
      </c>
      <c r="I23" s="118"/>
      <c r="J23" s="118">
        <f>SUM('5225100'!H18)</f>
        <v>180271</v>
      </c>
      <c r="K23" s="118">
        <f>SUM('5225100'!I18)</f>
        <v>0</v>
      </c>
      <c r="L23" s="118"/>
      <c r="M23" s="118">
        <f>SUM('5225100'!K18)</f>
        <v>3129.6</v>
      </c>
      <c r="N23" s="118">
        <f>SUM(P23+Q23)</f>
        <v>0</v>
      </c>
      <c r="O23" s="118"/>
      <c r="P23" s="118">
        <f>SUM('5225100'!M18)</f>
        <v>0</v>
      </c>
      <c r="Q23" s="118">
        <f>SUM('5225100'!N18)</f>
        <v>0</v>
      </c>
      <c r="R23" s="118"/>
      <c r="S23" s="118">
        <f>SUM(U23+V23)</f>
        <v>0</v>
      </c>
      <c r="T23" s="118"/>
      <c r="U23" s="118">
        <f>'5225100'!Q18</f>
        <v>0</v>
      </c>
      <c r="V23" s="118">
        <f>'5225100'!R18</f>
        <v>0</v>
      </c>
      <c r="W23" s="118"/>
      <c r="X23" s="118">
        <f t="shared" si="3"/>
        <v>0</v>
      </c>
      <c r="Y23" s="118">
        <v>0</v>
      </c>
    </row>
    <row r="24" spans="2:25" ht="11.25">
      <c r="B24" s="216" t="s">
        <v>240</v>
      </c>
      <c r="C24" s="118" t="s">
        <v>221</v>
      </c>
      <c r="D24" s="269" t="s">
        <v>231</v>
      </c>
      <c r="E24" s="269" t="s">
        <v>263</v>
      </c>
      <c r="F24" s="269" t="s">
        <v>250</v>
      </c>
      <c r="G24" s="217" t="s">
        <v>241</v>
      </c>
      <c r="H24" s="118">
        <f aca="true" t="shared" si="8" ref="H24:V24">SUM(H25+H26+H27)</f>
        <v>995435.5000000001</v>
      </c>
      <c r="I24" s="118"/>
      <c r="J24" s="118">
        <f t="shared" si="8"/>
        <v>965572.5000000001</v>
      </c>
      <c r="K24" s="118">
        <f t="shared" si="8"/>
        <v>29863</v>
      </c>
      <c r="L24" s="118"/>
      <c r="M24" s="118">
        <f t="shared" si="8"/>
        <v>96292.7</v>
      </c>
      <c r="N24" s="118">
        <f t="shared" si="8"/>
        <v>66653.59999999999</v>
      </c>
      <c r="O24" s="118"/>
      <c r="P24" s="118">
        <f t="shared" si="8"/>
        <v>64653.9</v>
      </c>
      <c r="Q24" s="118">
        <f t="shared" si="8"/>
        <v>1999.7</v>
      </c>
      <c r="R24" s="118"/>
      <c r="S24" s="118">
        <f t="shared" si="8"/>
        <v>66653.59999999999</v>
      </c>
      <c r="T24" s="118"/>
      <c r="U24" s="118">
        <f t="shared" si="8"/>
        <v>64653.9</v>
      </c>
      <c r="V24" s="118">
        <f t="shared" si="8"/>
        <v>1999.7</v>
      </c>
      <c r="W24" s="118"/>
      <c r="X24" s="118">
        <f t="shared" si="3"/>
        <v>67.14309599793131</v>
      </c>
      <c r="Y24" s="118">
        <f>(S24/N24)*100</f>
        <v>100</v>
      </c>
    </row>
    <row r="25" spans="2:25" ht="11.25">
      <c r="B25" s="522" t="s">
        <v>245</v>
      </c>
      <c r="C25" s="118" t="s">
        <v>221</v>
      </c>
      <c r="D25" s="269" t="s">
        <v>231</v>
      </c>
      <c r="E25" s="269" t="s">
        <v>263</v>
      </c>
      <c r="F25" s="269" t="s">
        <v>250</v>
      </c>
      <c r="G25" s="217" t="s">
        <v>241</v>
      </c>
      <c r="H25" s="118">
        <f>SUM(J25+K25)</f>
        <v>575241.3</v>
      </c>
      <c r="I25" s="118"/>
      <c r="J25" s="118">
        <f>SUM('5225100'!H20)</f>
        <v>557984.1000000001</v>
      </c>
      <c r="K25" s="118">
        <f>SUM('5225100'!I20)</f>
        <v>17257.2</v>
      </c>
      <c r="L25" s="118"/>
      <c r="M25" s="118">
        <f>SUM('5225100'!K20)</f>
        <v>14592.7</v>
      </c>
      <c r="N25" s="118">
        <f>SUM(P25+Q25)</f>
        <v>7431.299999999999</v>
      </c>
      <c r="O25" s="118"/>
      <c r="P25" s="118">
        <f>SUM('5225100'!M20)</f>
        <v>7208.4</v>
      </c>
      <c r="Q25" s="118">
        <f>SUM('5225100'!N20)</f>
        <v>222.9</v>
      </c>
      <c r="R25" s="118"/>
      <c r="S25" s="118">
        <f>SUM(U25+V25)</f>
        <v>7431.299999999999</v>
      </c>
      <c r="T25" s="118"/>
      <c r="U25" s="118">
        <f>'5225100'!Q20</f>
        <v>7208.4</v>
      </c>
      <c r="V25" s="118">
        <f>'5225100'!R20</f>
        <v>222.9</v>
      </c>
      <c r="W25" s="118"/>
      <c r="X25" s="118">
        <f t="shared" si="3"/>
        <v>49.397301390421234</v>
      </c>
      <c r="Y25" s="118">
        <f>(S25/N25)*100</f>
        <v>100</v>
      </c>
    </row>
    <row r="26" spans="2:25" ht="11.25">
      <c r="B26" s="522" t="s">
        <v>242</v>
      </c>
      <c r="C26" s="118" t="s">
        <v>221</v>
      </c>
      <c r="D26" s="269" t="s">
        <v>231</v>
      </c>
      <c r="E26" s="269" t="s">
        <v>263</v>
      </c>
      <c r="F26" s="269" t="s">
        <v>250</v>
      </c>
      <c r="G26" s="217" t="s">
        <v>241</v>
      </c>
      <c r="H26" s="118">
        <f>SUM(J26+K26)</f>
        <v>214560.4</v>
      </c>
      <c r="I26" s="118"/>
      <c r="J26" s="118">
        <f>SUM('5225100'!H26)</f>
        <v>208123.6</v>
      </c>
      <c r="K26" s="118">
        <f>SUM('5225100'!I26)</f>
        <v>6436.8</v>
      </c>
      <c r="L26" s="118"/>
      <c r="M26" s="118">
        <f>SUM('5225100'!K26)</f>
        <v>6400</v>
      </c>
      <c r="N26" s="118">
        <f>SUM(P26+Q26)</f>
        <v>6185.1</v>
      </c>
      <c r="O26" s="118"/>
      <c r="P26" s="118">
        <f>SUM('5225100'!M26)</f>
        <v>5999.5</v>
      </c>
      <c r="Q26" s="118">
        <f>SUM('5225100'!N26)</f>
        <v>185.6</v>
      </c>
      <c r="R26" s="118"/>
      <c r="S26" s="118">
        <f>SUM(U26+V26)</f>
        <v>6185.1</v>
      </c>
      <c r="T26" s="118"/>
      <c r="U26" s="118">
        <f>'5225100'!Q26</f>
        <v>5999.5</v>
      </c>
      <c r="V26" s="118">
        <f>'5225100'!R26</f>
        <v>185.6</v>
      </c>
      <c r="W26" s="118"/>
      <c r="X26" s="118">
        <f t="shared" si="3"/>
        <v>93.7421875</v>
      </c>
      <c r="Y26" s="118">
        <f>(S26/N26)*100</f>
        <v>100</v>
      </c>
    </row>
    <row r="27" spans="2:25" ht="22.5">
      <c r="B27" s="522" t="s">
        <v>330</v>
      </c>
      <c r="C27" s="118" t="s">
        <v>221</v>
      </c>
      <c r="D27" s="269" t="s">
        <v>231</v>
      </c>
      <c r="E27" s="269" t="s">
        <v>263</v>
      </c>
      <c r="F27" s="269" t="s">
        <v>250</v>
      </c>
      <c r="G27" s="217" t="s">
        <v>241</v>
      </c>
      <c r="H27" s="118">
        <f>SUM(J27+K27)</f>
        <v>205633.80000000002</v>
      </c>
      <c r="I27" s="118"/>
      <c r="J27" s="118">
        <f>SUM('5225100'!H28)</f>
        <v>199464.80000000002</v>
      </c>
      <c r="K27" s="118">
        <f>SUM('5225100'!I28)</f>
        <v>6169</v>
      </c>
      <c r="L27" s="118"/>
      <c r="M27" s="118">
        <f>SUM('5225100'!K28)</f>
        <v>75300</v>
      </c>
      <c r="N27" s="118">
        <f>SUM(P27+Q27)</f>
        <v>53037.2</v>
      </c>
      <c r="O27" s="118"/>
      <c r="P27" s="118">
        <f>SUM('5225100'!M28)</f>
        <v>51446</v>
      </c>
      <c r="Q27" s="118">
        <f>SUM('5225100'!N28)</f>
        <v>1591.2</v>
      </c>
      <c r="R27" s="118"/>
      <c r="S27" s="118">
        <f>SUM(U27+V27)</f>
        <v>53037.2</v>
      </c>
      <c r="T27" s="118"/>
      <c r="U27" s="118">
        <f>'5225100'!Q28</f>
        <v>51446</v>
      </c>
      <c r="V27" s="118">
        <f>'5225100'!R28</f>
        <v>1591.2</v>
      </c>
      <c r="W27" s="118"/>
      <c r="X27" s="118">
        <f t="shared" si="3"/>
        <v>68.32138114209828</v>
      </c>
      <c r="Y27" s="118">
        <f>(S27/N27)*100</f>
        <v>100</v>
      </c>
    </row>
    <row r="28" spans="1:25" ht="33.75">
      <c r="A28" s="128" t="s">
        <v>333</v>
      </c>
      <c r="B28" s="520" t="s">
        <v>222</v>
      </c>
      <c r="C28" s="214" t="s">
        <v>223</v>
      </c>
      <c r="D28" s="229"/>
      <c r="E28" s="230"/>
      <c r="F28" s="229"/>
      <c r="G28" s="229"/>
      <c r="H28" s="214">
        <f>SUM(H30)</f>
        <v>593392.6</v>
      </c>
      <c r="I28" s="214"/>
      <c r="J28" s="214">
        <f>SUM(J30)</f>
        <v>593149.1</v>
      </c>
      <c r="K28" s="214">
        <f>SUM(K30)</f>
        <v>243.5</v>
      </c>
      <c r="L28" s="214"/>
      <c r="M28" s="214">
        <f>SUM(M30)</f>
        <v>119642.8</v>
      </c>
      <c r="N28" s="214">
        <f>SUM(N30)</f>
        <v>71300.5</v>
      </c>
      <c r="O28" s="214"/>
      <c r="P28" s="214">
        <f>SUM(P30)</f>
        <v>71236.1</v>
      </c>
      <c r="Q28" s="214">
        <f>SUM(Q30)</f>
        <v>64.4</v>
      </c>
      <c r="R28" s="214"/>
      <c r="S28" s="214">
        <f>SUM(S30)</f>
        <v>71300.4</v>
      </c>
      <c r="T28" s="214"/>
      <c r="U28" s="214">
        <f>SUM(U30)</f>
        <v>71236</v>
      </c>
      <c r="V28" s="214">
        <f>SUM(V30)</f>
        <v>64.4</v>
      </c>
      <c r="W28" s="214"/>
      <c r="X28" s="214">
        <f t="shared" si="3"/>
        <v>59.54064933284745</v>
      </c>
      <c r="Y28" s="230">
        <f>(S28/N28)*100</f>
        <v>99.9998597485291</v>
      </c>
    </row>
    <row r="29" spans="1:25" s="164" customFormat="1" ht="11.25">
      <c r="A29" s="523"/>
      <c r="B29" s="434" t="s">
        <v>380</v>
      </c>
      <c r="C29" s="426"/>
      <c r="D29" s="528"/>
      <c r="E29" s="529"/>
      <c r="F29" s="528"/>
      <c r="G29" s="528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>
        <f>U29+V29</f>
        <v>1394.6</v>
      </c>
      <c r="U29" s="426">
        <f>'5225100'!Q37</f>
        <v>1352.8</v>
      </c>
      <c r="V29" s="426">
        <f>'5225100'!R37</f>
        <v>41.8</v>
      </c>
      <c r="W29" s="426"/>
      <c r="X29" s="426"/>
      <c r="Y29" s="529"/>
    </row>
    <row r="30" spans="2:25" ht="33.75">
      <c r="B30" s="224" t="s">
        <v>230</v>
      </c>
      <c r="C30" s="118" t="s">
        <v>223</v>
      </c>
      <c r="D30" s="217" t="s">
        <v>231</v>
      </c>
      <c r="E30" s="118"/>
      <c r="F30" s="218"/>
      <c r="G30" s="218"/>
      <c r="H30" s="222">
        <f aca="true" t="shared" si="9" ref="H30:Q31">SUM(H31)</f>
        <v>593392.6</v>
      </c>
      <c r="I30" s="222"/>
      <c r="J30" s="222">
        <f t="shared" si="9"/>
        <v>593149.1</v>
      </c>
      <c r="K30" s="222">
        <f t="shared" si="9"/>
        <v>243.5</v>
      </c>
      <c r="L30" s="222"/>
      <c r="M30" s="222">
        <f t="shared" si="9"/>
        <v>119642.8</v>
      </c>
      <c r="N30" s="222">
        <f t="shared" si="9"/>
        <v>71300.5</v>
      </c>
      <c r="O30" s="222"/>
      <c r="P30" s="222">
        <f t="shared" si="9"/>
        <v>71236.1</v>
      </c>
      <c r="Q30" s="222">
        <f t="shared" si="9"/>
        <v>64.4</v>
      </c>
      <c r="R30" s="222"/>
      <c r="S30" s="222">
        <f aca="true" t="shared" si="10" ref="S30:V31">SUM(S31)</f>
        <v>71300.4</v>
      </c>
      <c r="T30" s="222"/>
      <c r="U30" s="222">
        <f t="shared" si="10"/>
        <v>71236</v>
      </c>
      <c r="V30" s="222">
        <f t="shared" si="10"/>
        <v>64.4</v>
      </c>
      <c r="W30" s="222"/>
      <c r="X30" s="222">
        <f t="shared" si="3"/>
        <v>59.54064933284745</v>
      </c>
      <c r="Y30" s="222">
        <f>(S30/N30)*100</f>
        <v>99.9998597485291</v>
      </c>
    </row>
    <row r="31" spans="2:25" ht="11.25">
      <c r="B31" s="521" t="s">
        <v>264</v>
      </c>
      <c r="C31" s="118" t="s">
        <v>223</v>
      </c>
      <c r="D31" s="269" t="s">
        <v>231</v>
      </c>
      <c r="E31" s="269" t="s">
        <v>263</v>
      </c>
      <c r="F31" s="269"/>
      <c r="G31" s="269"/>
      <c r="H31" s="118">
        <f t="shared" si="9"/>
        <v>593392.6</v>
      </c>
      <c r="I31" s="118"/>
      <c r="J31" s="118">
        <f t="shared" si="9"/>
        <v>593149.1</v>
      </c>
      <c r="K31" s="118">
        <f t="shared" si="9"/>
        <v>243.5</v>
      </c>
      <c r="L31" s="118"/>
      <c r="M31" s="118">
        <f t="shared" si="9"/>
        <v>119642.8</v>
      </c>
      <c r="N31" s="118">
        <f t="shared" si="9"/>
        <v>71300.5</v>
      </c>
      <c r="O31" s="118"/>
      <c r="P31" s="118">
        <f t="shared" si="9"/>
        <v>71236.1</v>
      </c>
      <c r="Q31" s="118">
        <f t="shared" si="9"/>
        <v>64.4</v>
      </c>
      <c r="R31" s="118"/>
      <c r="S31" s="118">
        <f t="shared" si="10"/>
        <v>71300.4</v>
      </c>
      <c r="T31" s="118"/>
      <c r="U31" s="118">
        <f t="shared" si="10"/>
        <v>71236</v>
      </c>
      <c r="V31" s="118">
        <f t="shared" si="10"/>
        <v>64.4</v>
      </c>
      <c r="W31" s="118"/>
      <c r="X31" s="118">
        <f t="shared" si="3"/>
        <v>59.54064933284745</v>
      </c>
      <c r="Y31" s="118">
        <f>(S31/N31)*100</f>
        <v>99.9998597485291</v>
      </c>
    </row>
    <row r="32" spans="2:25" ht="11.25">
      <c r="B32" s="521" t="s">
        <v>284</v>
      </c>
      <c r="C32" s="118" t="s">
        <v>223</v>
      </c>
      <c r="D32" s="269" t="s">
        <v>231</v>
      </c>
      <c r="E32" s="269" t="s">
        <v>263</v>
      </c>
      <c r="F32" s="269" t="s">
        <v>250</v>
      </c>
      <c r="G32" s="269"/>
      <c r="H32" s="118">
        <f aca="true" t="shared" si="11" ref="H32:Q32">SUM(H33+H36)</f>
        <v>593392.6</v>
      </c>
      <c r="I32" s="118"/>
      <c r="J32" s="118">
        <f>SUM(J33+J36)</f>
        <v>593149.1</v>
      </c>
      <c r="K32" s="118">
        <f t="shared" si="11"/>
        <v>243.5</v>
      </c>
      <c r="L32" s="118"/>
      <c r="M32" s="118">
        <f t="shared" si="11"/>
        <v>119642.8</v>
      </c>
      <c r="N32" s="118">
        <f t="shared" si="11"/>
        <v>71300.5</v>
      </c>
      <c r="O32" s="118"/>
      <c r="P32" s="118">
        <f t="shared" si="11"/>
        <v>71236.1</v>
      </c>
      <c r="Q32" s="118">
        <f t="shared" si="11"/>
        <v>64.4</v>
      </c>
      <c r="R32" s="118"/>
      <c r="S32" s="118">
        <f>SUM(S33+S36)</f>
        <v>71300.4</v>
      </c>
      <c r="T32" s="118"/>
      <c r="U32" s="118">
        <f>SUM(U33+U36)</f>
        <v>71236</v>
      </c>
      <c r="V32" s="118">
        <f>SUM(V33+V36)</f>
        <v>64.4</v>
      </c>
      <c r="W32" s="118"/>
      <c r="X32" s="118">
        <f t="shared" si="3"/>
        <v>59.54064933284745</v>
      </c>
      <c r="Y32" s="118">
        <f>(S32/N32)*100</f>
        <v>99.9998597485291</v>
      </c>
    </row>
    <row r="33" spans="2:25" ht="11.25">
      <c r="B33" s="530" t="s">
        <v>257</v>
      </c>
      <c r="C33" s="118" t="s">
        <v>223</v>
      </c>
      <c r="D33" s="269" t="s">
        <v>231</v>
      </c>
      <c r="E33" s="269" t="s">
        <v>263</v>
      </c>
      <c r="F33" s="269" t="s">
        <v>250</v>
      </c>
      <c r="G33" s="269" t="s">
        <v>258</v>
      </c>
      <c r="H33" s="118">
        <f>SUM(H34+H35)</f>
        <v>585276.9</v>
      </c>
      <c r="I33" s="118"/>
      <c r="J33" s="118">
        <f>SUM(J34+J35)</f>
        <v>585276.9</v>
      </c>
      <c r="K33" s="118">
        <f>SUM(K34+K35)</f>
        <v>0</v>
      </c>
      <c r="L33" s="118"/>
      <c r="M33" s="118">
        <f>SUM(M34+M35)</f>
        <v>116687.2</v>
      </c>
      <c r="N33" s="118">
        <f>SUM(N34+N35)</f>
        <v>69154.3</v>
      </c>
      <c r="O33" s="118"/>
      <c r="P33" s="118">
        <f>SUM(P34+P35)</f>
        <v>69154.3</v>
      </c>
      <c r="Q33" s="118">
        <f>SUM(Q34+Q35)</f>
        <v>0</v>
      </c>
      <c r="R33" s="118"/>
      <c r="S33" s="118">
        <f>SUM(S34+S35)</f>
        <v>69154.2</v>
      </c>
      <c r="T33" s="118"/>
      <c r="U33" s="118">
        <f>SUM(U34+U35)</f>
        <v>69154.2</v>
      </c>
      <c r="V33" s="118">
        <f>SUM(V34+V35)</f>
        <v>0</v>
      </c>
      <c r="W33" s="118"/>
      <c r="X33" s="118">
        <f t="shared" si="3"/>
        <v>59.26468370138285</v>
      </c>
      <c r="Y33" s="118">
        <f>(S33/N33)*100</f>
        <v>99.99985539583221</v>
      </c>
    </row>
    <row r="34" spans="2:25" ht="23.25" customHeight="1">
      <c r="B34" s="216" t="s">
        <v>230</v>
      </c>
      <c r="C34" s="118" t="s">
        <v>223</v>
      </c>
      <c r="D34" s="269" t="s">
        <v>231</v>
      </c>
      <c r="E34" s="269" t="s">
        <v>263</v>
      </c>
      <c r="F34" s="269" t="s">
        <v>250</v>
      </c>
      <c r="G34" s="269" t="s">
        <v>258</v>
      </c>
      <c r="H34" s="118">
        <f>SUM(J34+K34)</f>
        <v>4957.700000000001</v>
      </c>
      <c r="I34" s="118"/>
      <c r="J34" s="118">
        <f>SUM('5225100'!H42)</f>
        <v>4957.700000000001</v>
      </c>
      <c r="K34" s="118">
        <f>SUM('5225100'!I42)</f>
        <v>0</v>
      </c>
      <c r="L34" s="118"/>
      <c r="M34" s="118">
        <f>SUM('5225100'!K42)</f>
        <v>0</v>
      </c>
      <c r="N34" s="118">
        <f>SUM(P34+Q34)</f>
        <v>0</v>
      </c>
      <c r="O34" s="118"/>
      <c r="P34" s="118">
        <f>SUM('5225100'!M42)</f>
        <v>0</v>
      </c>
      <c r="Q34" s="118">
        <f>SUM('5225100'!N42)</f>
        <v>0</v>
      </c>
      <c r="R34" s="118"/>
      <c r="S34" s="118">
        <f>SUM(U34+V34)</f>
        <v>0</v>
      </c>
      <c r="T34" s="118"/>
      <c r="U34" s="118">
        <f>SUM('5225100'!Q42)</f>
        <v>0</v>
      </c>
      <c r="V34" s="118">
        <f>SUM('5225100'!R42)</f>
        <v>0</v>
      </c>
      <c r="W34" s="118"/>
      <c r="X34" s="118"/>
      <c r="Y34" s="118"/>
    </row>
    <row r="35" spans="2:25" ht="22.5">
      <c r="B35" s="216" t="s">
        <v>329</v>
      </c>
      <c r="C35" s="118" t="s">
        <v>223</v>
      </c>
      <c r="D35" s="269" t="s">
        <v>231</v>
      </c>
      <c r="E35" s="269" t="s">
        <v>263</v>
      </c>
      <c r="F35" s="269" t="s">
        <v>250</v>
      </c>
      <c r="G35" s="269" t="s">
        <v>258</v>
      </c>
      <c r="H35" s="118">
        <f>SUM(J35+K35)</f>
        <v>580319.2000000001</v>
      </c>
      <c r="I35" s="118"/>
      <c r="J35" s="118">
        <f>SUM('5225100'!H45)</f>
        <v>580319.2000000001</v>
      </c>
      <c r="K35" s="118">
        <f>SUM('5225100'!I45)</f>
        <v>0</v>
      </c>
      <c r="L35" s="118"/>
      <c r="M35" s="118">
        <f>SUM('5225100'!K45)</f>
        <v>116687.2</v>
      </c>
      <c r="N35" s="118">
        <f>SUM(P35+Q35)</f>
        <v>69154.3</v>
      </c>
      <c r="O35" s="118"/>
      <c r="P35" s="118">
        <f>SUM('5225100'!M45)</f>
        <v>69154.3</v>
      </c>
      <c r="Q35" s="118">
        <f>SUM('5225100'!N45)</f>
        <v>0</v>
      </c>
      <c r="R35" s="118"/>
      <c r="S35" s="118">
        <f>SUM(U35+V35)</f>
        <v>69154.2</v>
      </c>
      <c r="T35" s="118"/>
      <c r="U35" s="118">
        <f>'5225100'!Q45</f>
        <v>69154.2</v>
      </c>
      <c r="V35" s="118">
        <f>SUM('5225100'!R45)</f>
        <v>0</v>
      </c>
      <c r="W35" s="118"/>
      <c r="X35" s="118">
        <f t="shared" si="3"/>
        <v>59.26468370138285</v>
      </c>
      <c r="Y35" s="118">
        <f>(S35/N35)*100</f>
        <v>99.99985539583221</v>
      </c>
    </row>
    <row r="36" spans="2:25" ht="11.25">
      <c r="B36" s="216" t="s">
        <v>240</v>
      </c>
      <c r="C36" s="118" t="s">
        <v>223</v>
      </c>
      <c r="D36" s="269" t="s">
        <v>231</v>
      </c>
      <c r="E36" s="269" t="s">
        <v>263</v>
      </c>
      <c r="F36" s="269" t="s">
        <v>250</v>
      </c>
      <c r="G36" s="217" t="s">
        <v>241</v>
      </c>
      <c r="H36" s="439">
        <f aca="true" t="shared" si="12" ref="H36:Q36">H37+H38</f>
        <v>8115.7</v>
      </c>
      <c r="I36" s="439"/>
      <c r="J36" s="439">
        <f t="shared" si="12"/>
        <v>7872.200000000001</v>
      </c>
      <c r="K36" s="439">
        <f t="shared" si="12"/>
        <v>243.5</v>
      </c>
      <c r="L36" s="439"/>
      <c r="M36" s="439">
        <f t="shared" si="12"/>
        <v>2955.6</v>
      </c>
      <c r="N36" s="439">
        <f>N37+N38</f>
        <v>2146.2000000000003</v>
      </c>
      <c r="O36" s="439"/>
      <c r="P36" s="439">
        <f>P37+P38</f>
        <v>2081.8</v>
      </c>
      <c r="Q36" s="439">
        <f t="shared" si="12"/>
        <v>64.4</v>
      </c>
      <c r="R36" s="439"/>
      <c r="S36" s="439">
        <f>S37+S38</f>
        <v>2146.2000000000003</v>
      </c>
      <c r="T36" s="439"/>
      <c r="U36" s="439">
        <f>U37+U38</f>
        <v>2081.8</v>
      </c>
      <c r="V36" s="439">
        <f>V37+V38</f>
        <v>64.4</v>
      </c>
      <c r="W36" s="439"/>
      <c r="X36" s="118">
        <f t="shared" si="3"/>
        <v>70.4357829205576</v>
      </c>
      <c r="Y36" s="118">
        <f>(S36/N36)*100</f>
        <v>100</v>
      </c>
    </row>
    <row r="37" spans="2:25" ht="11.25">
      <c r="B37" s="216" t="s">
        <v>245</v>
      </c>
      <c r="C37" s="118" t="s">
        <v>223</v>
      </c>
      <c r="D37" s="269" t="s">
        <v>231</v>
      </c>
      <c r="E37" s="269" t="s">
        <v>263</v>
      </c>
      <c r="F37" s="269" t="s">
        <v>250</v>
      </c>
      <c r="G37" s="217" t="s">
        <v>241</v>
      </c>
      <c r="H37" s="118">
        <f>SUM(J37+K37)</f>
        <v>5096.7</v>
      </c>
      <c r="I37" s="118"/>
      <c r="J37" s="118">
        <f>SUM('5225100'!H58)</f>
        <v>4943.8</v>
      </c>
      <c r="K37" s="118">
        <f>SUM('5225100'!I58)</f>
        <v>152.9</v>
      </c>
      <c r="L37" s="118"/>
      <c r="M37" s="118">
        <f>SUM('5225100'!K58)</f>
        <v>2472</v>
      </c>
      <c r="N37" s="118">
        <f>SUM(P37+Q37)</f>
        <v>1647.6000000000001</v>
      </c>
      <c r="O37" s="118"/>
      <c r="P37" s="118">
        <f>SUM('5225100'!M58)</f>
        <v>1598.2</v>
      </c>
      <c r="Q37" s="118">
        <f>SUM('5225100'!N58)</f>
        <v>49.4</v>
      </c>
      <c r="R37" s="118"/>
      <c r="S37" s="118">
        <f>SUM(U37+V37)</f>
        <v>1647.6000000000001</v>
      </c>
      <c r="T37" s="118"/>
      <c r="U37" s="118">
        <f>SUM('5225100'!Q58)</f>
        <v>1598.2</v>
      </c>
      <c r="V37" s="118">
        <f>SUM('5225100'!R58)</f>
        <v>49.4</v>
      </c>
      <c r="W37" s="118"/>
      <c r="X37" s="118">
        <f t="shared" si="3"/>
        <v>64.65210355987055</v>
      </c>
      <c r="Y37" s="118">
        <f>(S37/N37)*100</f>
        <v>100</v>
      </c>
    </row>
    <row r="38" spans="2:25" ht="11.25">
      <c r="B38" s="216" t="s">
        <v>261</v>
      </c>
      <c r="C38" s="118" t="s">
        <v>223</v>
      </c>
      <c r="D38" s="269" t="s">
        <v>231</v>
      </c>
      <c r="E38" s="269" t="s">
        <v>263</v>
      </c>
      <c r="F38" s="269" t="s">
        <v>250</v>
      </c>
      <c r="G38" s="217" t="s">
        <v>241</v>
      </c>
      <c r="H38" s="118">
        <f>SUM(J38+K38)</f>
        <v>3019</v>
      </c>
      <c r="I38" s="118"/>
      <c r="J38" s="118">
        <f>SUM('5225100'!H61)</f>
        <v>2928.4</v>
      </c>
      <c r="K38" s="118">
        <f>SUM('5225100'!I61)</f>
        <v>90.6</v>
      </c>
      <c r="L38" s="118"/>
      <c r="M38" s="118">
        <f>SUM('5225100'!K61)</f>
        <v>483.6</v>
      </c>
      <c r="N38" s="118">
        <f>SUM(P38+Q38)</f>
        <v>498.6</v>
      </c>
      <c r="O38" s="118"/>
      <c r="P38" s="118">
        <f>SUM('5225100'!M61)</f>
        <v>483.6</v>
      </c>
      <c r="Q38" s="118">
        <f>SUM('5225100'!N61)</f>
        <v>15</v>
      </c>
      <c r="R38" s="118"/>
      <c r="S38" s="118">
        <f>SUM(U38+V38)</f>
        <v>498.6</v>
      </c>
      <c r="T38" s="118"/>
      <c r="U38" s="118">
        <f>SUM('5225100'!Q61)</f>
        <v>483.6</v>
      </c>
      <c r="V38" s="118">
        <f>SUM('5225100'!R61)</f>
        <v>15</v>
      </c>
      <c r="W38" s="118"/>
      <c r="X38" s="118">
        <f t="shared" si="3"/>
        <v>100</v>
      </c>
      <c r="Y38" s="118">
        <f>(S38/N38)*100</f>
        <v>100</v>
      </c>
    </row>
    <row r="39" spans="1:25" ht="39" customHeight="1">
      <c r="A39" s="128" t="s">
        <v>334</v>
      </c>
      <c r="B39" s="524" t="s">
        <v>224</v>
      </c>
      <c r="C39" s="525" t="s">
        <v>225</v>
      </c>
      <c r="D39" s="526"/>
      <c r="E39" s="527"/>
      <c r="F39" s="526"/>
      <c r="G39" s="526"/>
      <c r="H39" s="525">
        <f aca="true" t="shared" si="13" ref="H39:V39">SUM(H41)</f>
        <v>330509.60000000003</v>
      </c>
      <c r="I39" s="525"/>
      <c r="J39" s="525">
        <f t="shared" si="13"/>
        <v>320594.30000000005</v>
      </c>
      <c r="K39" s="525">
        <f t="shared" si="13"/>
        <v>9915.300000000001</v>
      </c>
      <c r="L39" s="525"/>
      <c r="M39" s="525">
        <f t="shared" si="13"/>
        <v>4440</v>
      </c>
      <c r="N39" s="525">
        <f t="shared" si="13"/>
        <v>1897.9999999999998</v>
      </c>
      <c r="O39" s="525"/>
      <c r="P39" s="525">
        <f t="shared" si="13"/>
        <v>1831.6</v>
      </c>
      <c r="Q39" s="525">
        <f t="shared" si="13"/>
        <v>66.4</v>
      </c>
      <c r="R39" s="525"/>
      <c r="S39" s="525">
        <f t="shared" si="13"/>
        <v>1897.9999999999998</v>
      </c>
      <c r="T39" s="525"/>
      <c r="U39" s="525">
        <f t="shared" si="13"/>
        <v>1831.6</v>
      </c>
      <c r="V39" s="525">
        <f t="shared" si="13"/>
        <v>66.4</v>
      </c>
      <c r="W39" s="525"/>
      <c r="X39" s="525">
        <f t="shared" si="3"/>
        <v>41.252252252252255</v>
      </c>
      <c r="Y39" s="230">
        <f>(S39/N39)*100</f>
        <v>100</v>
      </c>
    </row>
    <row r="40" spans="1:25" s="26" customFormat="1" ht="11.25">
      <c r="A40" s="417"/>
      <c r="B40" s="418" t="s">
        <v>381</v>
      </c>
      <c r="C40" s="410"/>
      <c r="D40" s="419"/>
      <c r="E40" s="410"/>
      <c r="F40" s="419"/>
      <c r="G40" s="419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>
        <f>U40+V40</f>
        <v>9582.699999999999</v>
      </c>
      <c r="T40" s="410"/>
      <c r="U40" s="410">
        <f>'5225100'!Q64</f>
        <v>9295.3</v>
      </c>
      <c r="V40" s="410">
        <f>'5225100'!R64</f>
        <v>287.40000000000003</v>
      </c>
      <c r="W40" s="410"/>
      <c r="X40" s="410"/>
      <c r="Y40" s="410"/>
    </row>
    <row r="41" spans="2:25" ht="33.75">
      <c r="B41" s="224" t="s">
        <v>230</v>
      </c>
      <c r="C41" s="118" t="s">
        <v>225</v>
      </c>
      <c r="D41" s="217" t="s">
        <v>231</v>
      </c>
      <c r="E41" s="118"/>
      <c r="F41" s="218"/>
      <c r="G41" s="218"/>
      <c r="H41" s="118">
        <f aca="true" t="shared" si="14" ref="H41:Q43">SUM(H42)</f>
        <v>330509.60000000003</v>
      </c>
      <c r="I41" s="118"/>
      <c r="J41" s="118">
        <f t="shared" si="14"/>
        <v>320594.30000000005</v>
      </c>
      <c r="K41" s="118">
        <f t="shared" si="14"/>
        <v>9915.300000000001</v>
      </c>
      <c r="L41" s="118"/>
      <c r="M41" s="118">
        <f t="shared" si="14"/>
        <v>4440</v>
      </c>
      <c r="N41" s="118">
        <f t="shared" si="14"/>
        <v>1897.9999999999998</v>
      </c>
      <c r="O41" s="118"/>
      <c r="P41" s="118">
        <f t="shared" si="14"/>
        <v>1831.6</v>
      </c>
      <c r="Q41" s="118">
        <f t="shared" si="14"/>
        <v>66.4</v>
      </c>
      <c r="R41" s="118"/>
      <c r="S41" s="118">
        <f aca="true" t="shared" si="15" ref="S41:V43">SUM(S42)</f>
        <v>1897.9999999999998</v>
      </c>
      <c r="T41" s="118"/>
      <c r="U41" s="118">
        <f t="shared" si="15"/>
        <v>1831.6</v>
      </c>
      <c r="V41" s="118">
        <f t="shared" si="15"/>
        <v>66.4</v>
      </c>
      <c r="W41" s="118"/>
      <c r="X41" s="118">
        <f t="shared" si="3"/>
        <v>41.252252252252255</v>
      </c>
      <c r="Y41" s="118">
        <f>(S41/N41)*100</f>
        <v>100</v>
      </c>
    </row>
    <row r="42" spans="2:25" ht="11.25">
      <c r="B42" s="521" t="s">
        <v>264</v>
      </c>
      <c r="C42" s="118" t="s">
        <v>225</v>
      </c>
      <c r="D42" s="217" t="s">
        <v>231</v>
      </c>
      <c r="E42" s="269" t="s">
        <v>263</v>
      </c>
      <c r="F42" s="218"/>
      <c r="G42" s="218"/>
      <c r="H42" s="118">
        <f t="shared" si="14"/>
        <v>330509.60000000003</v>
      </c>
      <c r="I42" s="118"/>
      <c r="J42" s="118">
        <f t="shared" si="14"/>
        <v>320594.30000000005</v>
      </c>
      <c r="K42" s="118">
        <f t="shared" si="14"/>
        <v>9915.300000000001</v>
      </c>
      <c r="L42" s="118"/>
      <c r="M42" s="118">
        <f t="shared" si="14"/>
        <v>4440</v>
      </c>
      <c r="N42" s="118">
        <f t="shared" si="14"/>
        <v>1897.9999999999998</v>
      </c>
      <c r="O42" s="118"/>
      <c r="P42" s="118">
        <f t="shared" si="14"/>
        <v>1831.6</v>
      </c>
      <c r="Q42" s="118">
        <f t="shared" si="14"/>
        <v>66.4</v>
      </c>
      <c r="R42" s="118"/>
      <c r="S42" s="118">
        <f t="shared" si="15"/>
        <v>1897.9999999999998</v>
      </c>
      <c r="T42" s="118"/>
      <c r="U42" s="118">
        <f t="shared" si="15"/>
        <v>1831.6</v>
      </c>
      <c r="V42" s="118">
        <f t="shared" si="15"/>
        <v>66.4</v>
      </c>
      <c r="W42" s="118"/>
      <c r="X42" s="118">
        <f t="shared" si="3"/>
        <v>41.252252252252255</v>
      </c>
      <c r="Y42" s="118">
        <f>(S42/N42)*100</f>
        <v>100</v>
      </c>
    </row>
    <row r="43" spans="2:25" ht="22.5">
      <c r="B43" s="521" t="s">
        <v>285</v>
      </c>
      <c r="C43" s="118" t="s">
        <v>225</v>
      </c>
      <c r="D43" s="217" t="s">
        <v>231</v>
      </c>
      <c r="E43" s="269" t="s">
        <v>263</v>
      </c>
      <c r="F43" s="269" t="s">
        <v>263</v>
      </c>
      <c r="G43" s="218"/>
      <c r="H43" s="118">
        <f t="shared" si="14"/>
        <v>330509.60000000003</v>
      </c>
      <c r="I43" s="118"/>
      <c r="J43" s="118">
        <f t="shared" si="14"/>
        <v>320594.30000000005</v>
      </c>
      <c r="K43" s="118">
        <f t="shared" si="14"/>
        <v>9915.300000000001</v>
      </c>
      <c r="L43" s="118"/>
      <c r="M43" s="118">
        <f t="shared" si="14"/>
        <v>4440</v>
      </c>
      <c r="N43" s="118">
        <f t="shared" si="14"/>
        <v>1897.9999999999998</v>
      </c>
      <c r="O43" s="118"/>
      <c r="P43" s="118">
        <f t="shared" si="14"/>
        <v>1831.6</v>
      </c>
      <c r="Q43" s="118">
        <f t="shared" si="14"/>
        <v>66.4</v>
      </c>
      <c r="R43" s="118"/>
      <c r="S43" s="118">
        <f t="shared" si="15"/>
        <v>1897.9999999999998</v>
      </c>
      <c r="T43" s="118"/>
      <c r="U43" s="118">
        <f t="shared" si="15"/>
        <v>1831.6</v>
      </c>
      <c r="V43" s="118">
        <f t="shared" si="15"/>
        <v>66.4</v>
      </c>
      <c r="W43" s="118"/>
      <c r="X43" s="118">
        <f t="shared" si="3"/>
        <v>41.252252252252255</v>
      </c>
      <c r="Y43" s="118">
        <f>(S43/N43)*100</f>
        <v>100</v>
      </c>
    </row>
    <row r="44" spans="2:25" ht="11.25">
      <c r="B44" s="522" t="s">
        <v>240</v>
      </c>
      <c r="C44" s="118" t="s">
        <v>225</v>
      </c>
      <c r="D44" s="217" t="s">
        <v>231</v>
      </c>
      <c r="E44" s="269" t="s">
        <v>263</v>
      </c>
      <c r="F44" s="269" t="s">
        <v>263</v>
      </c>
      <c r="G44" s="217" t="s">
        <v>241</v>
      </c>
      <c r="H44" s="118">
        <f aca="true" t="shared" si="16" ref="H44:Q44">SUM(H45+H46)</f>
        <v>330509.60000000003</v>
      </c>
      <c r="I44" s="118"/>
      <c r="J44" s="118">
        <f t="shared" si="16"/>
        <v>320594.30000000005</v>
      </c>
      <c r="K44" s="118">
        <f t="shared" si="16"/>
        <v>9915.300000000001</v>
      </c>
      <c r="L44" s="118"/>
      <c r="M44" s="118">
        <f t="shared" si="16"/>
        <v>4440</v>
      </c>
      <c r="N44" s="118">
        <f t="shared" si="16"/>
        <v>1897.9999999999998</v>
      </c>
      <c r="O44" s="118"/>
      <c r="P44" s="118">
        <f t="shared" si="16"/>
        <v>1831.6</v>
      </c>
      <c r="Q44" s="118">
        <f t="shared" si="16"/>
        <v>66.4</v>
      </c>
      <c r="R44" s="118"/>
      <c r="S44" s="118">
        <f>SUM(S45+S46)</f>
        <v>1897.9999999999998</v>
      </c>
      <c r="T44" s="118"/>
      <c r="U44" s="118">
        <f>SUM(U45+U46)</f>
        <v>1831.6</v>
      </c>
      <c r="V44" s="118">
        <f>SUM(V45+V46)</f>
        <v>66.4</v>
      </c>
      <c r="W44" s="118"/>
      <c r="X44" s="118">
        <f t="shared" si="3"/>
        <v>41.252252252252255</v>
      </c>
      <c r="Y44" s="118">
        <f>(S44/N44)*100</f>
        <v>100</v>
      </c>
    </row>
    <row r="45" spans="2:25" ht="11.25">
      <c r="B45" s="522" t="s">
        <v>245</v>
      </c>
      <c r="C45" s="118" t="s">
        <v>225</v>
      </c>
      <c r="D45" s="217" t="s">
        <v>231</v>
      </c>
      <c r="E45" s="269" t="s">
        <v>263</v>
      </c>
      <c r="F45" s="269" t="s">
        <v>263</v>
      </c>
      <c r="G45" s="217" t="s">
        <v>241</v>
      </c>
      <c r="H45" s="118">
        <f>SUM(J45+K45)</f>
        <v>282170.4</v>
      </c>
      <c r="I45" s="118"/>
      <c r="J45" s="118">
        <f>SUM('5225100'!H69)</f>
        <v>273705.30000000005</v>
      </c>
      <c r="K45" s="118">
        <f>SUM('5225100'!I69)</f>
        <v>8465.1</v>
      </c>
      <c r="L45" s="118"/>
      <c r="M45" s="118">
        <f>SUM('5225100'!K69)</f>
        <v>2000</v>
      </c>
      <c r="N45" s="118">
        <f>SUM(P45+Q45)</f>
        <v>9.8</v>
      </c>
      <c r="O45" s="118"/>
      <c r="P45" s="118">
        <f>SUM('5225100'!M69)</f>
        <v>0</v>
      </c>
      <c r="Q45" s="118">
        <f>SUM('5225100'!N69)</f>
        <v>9.8</v>
      </c>
      <c r="R45" s="118"/>
      <c r="S45" s="118">
        <f>SUM(U45+V45)</f>
        <v>9.8</v>
      </c>
      <c r="T45" s="118"/>
      <c r="U45" s="118">
        <f>SUM('5225100'!Q69)</f>
        <v>0</v>
      </c>
      <c r="V45" s="118">
        <f>SUM('5225100'!R69)</f>
        <v>9.8</v>
      </c>
      <c r="W45" s="118"/>
      <c r="X45" s="118">
        <f t="shared" si="3"/>
        <v>0</v>
      </c>
      <c r="Y45" s="118">
        <v>0</v>
      </c>
    </row>
    <row r="46" spans="2:25" ht="11.25">
      <c r="B46" s="522" t="s">
        <v>242</v>
      </c>
      <c r="C46" s="118" t="s">
        <v>225</v>
      </c>
      <c r="D46" s="217" t="s">
        <v>231</v>
      </c>
      <c r="E46" s="269" t="s">
        <v>263</v>
      </c>
      <c r="F46" s="269" t="s">
        <v>263</v>
      </c>
      <c r="G46" s="217" t="s">
        <v>241</v>
      </c>
      <c r="H46" s="118">
        <f>SUM(J46+K46)</f>
        <v>48339.2</v>
      </c>
      <c r="I46" s="118"/>
      <c r="J46" s="118">
        <f>SUM('5225100'!H85)</f>
        <v>46889</v>
      </c>
      <c r="K46" s="118">
        <f>SUM('5225100'!I85)</f>
        <v>1450.2</v>
      </c>
      <c r="L46" s="118"/>
      <c r="M46" s="118">
        <f>SUM('5225100'!K85)</f>
        <v>2440</v>
      </c>
      <c r="N46" s="118">
        <f>SUM(P46+Q46)</f>
        <v>1888.1999999999998</v>
      </c>
      <c r="O46" s="118"/>
      <c r="P46" s="118">
        <f>SUM('5225100'!M85)</f>
        <v>1831.6</v>
      </c>
      <c r="Q46" s="118">
        <f>SUM('5225100'!N85)</f>
        <v>56.6</v>
      </c>
      <c r="R46" s="118"/>
      <c r="S46" s="118">
        <f>SUM(U46+V46)</f>
        <v>1888.1999999999998</v>
      </c>
      <c r="T46" s="118"/>
      <c r="U46" s="118">
        <f>SUM('5225100'!Q85)</f>
        <v>1831.6</v>
      </c>
      <c r="V46" s="118">
        <f>SUM('5225100'!R85)</f>
        <v>56.6</v>
      </c>
      <c r="W46" s="118"/>
      <c r="X46" s="118">
        <f t="shared" si="3"/>
        <v>75.0655737704918</v>
      </c>
      <c r="Y46" s="118">
        <f>(S46/N46)*100</f>
        <v>100</v>
      </c>
    </row>
    <row r="47" spans="1:25" ht="33.75">
      <c r="A47" s="128" t="s">
        <v>335</v>
      </c>
      <c r="B47" s="520" t="s">
        <v>226</v>
      </c>
      <c r="C47" s="214" t="s">
        <v>227</v>
      </c>
      <c r="D47" s="229"/>
      <c r="E47" s="230"/>
      <c r="F47" s="229"/>
      <c r="G47" s="229"/>
      <c r="H47" s="214">
        <f aca="true" t="shared" si="17" ref="H47:Q47">SUM(H48)</f>
        <v>404061.2</v>
      </c>
      <c r="I47" s="214"/>
      <c r="J47" s="214">
        <f t="shared" si="17"/>
        <v>404061.2</v>
      </c>
      <c r="K47" s="214">
        <f t="shared" si="17"/>
        <v>0</v>
      </c>
      <c r="L47" s="214"/>
      <c r="M47" s="214">
        <f t="shared" si="17"/>
        <v>254060</v>
      </c>
      <c r="N47" s="214">
        <f t="shared" si="17"/>
        <v>235569.9</v>
      </c>
      <c r="O47" s="214"/>
      <c r="P47" s="214">
        <f t="shared" si="17"/>
        <v>235569.9</v>
      </c>
      <c r="Q47" s="214">
        <f t="shared" si="17"/>
        <v>0</v>
      </c>
      <c r="R47" s="214"/>
      <c r="S47" s="214">
        <f>SUM(S48)</f>
        <v>235569.9</v>
      </c>
      <c r="T47" s="214"/>
      <c r="U47" s="214">
        <f>SUM(U48)</f>
        <v>235569.9</v>
      </c>
      <c r="V47" s="214">
        <f>SUM(V48)</f>
        <v>0</v>
      </c>
      <c r="W47" s="214"/>
      <c r="X47" s="214">
        <f t="shared" si="3"/>
        <v>92.72215224750059</v>
      </c>
      <c r="Y47" s="214">
        <f>(S47/N47)*100</f>
        <v>100</v>
      </c>
    </row>
    <row r="48" spans="2:25" ht="33.75">
      <c r="B48" s="224" t="s">
        <v>230</v>
      </c>
      <c r="C48" s="118" t="s">
        <v>227</v>
      </c>
      <c r="D48" s="217" t="s">
        <v>231</v>
      </c>
      <c r="E48" s="118"/>
      <c r="F48" s="218"/>
      <c r="G48" s="218"/>
      <c r="H48" s="118">
        <f>H49+H52</f>
        <v>404061.2</v>
      </c>
      <c r="I48" s="118"/>
      <c r="J48" s="118">
        <f>J49+J52</f>
        <v>404061.2</v>
      </c>
      <c r="K48" s="118">
        <f>K49</f>
        <v>0</v>
      </c>
      <c r="L48" s="118"/>
      <c r="M48" s="118">
        <f>M49+M52</f>
        <v>254060</v>
      </c>
      <c r="N48" s="118">
        <f>N49+N52</f>
        <v>235569.9</v>
      </c>
      <c r="O48" s="118"/>
      <c r="P48" s="118">
        <f>P49+P52</f>
        <v>235569.9</v>
      </c>
      <c r="Q48" s="118">
        <f>Q49</f>
        <v>0</v>
      </c>
      <c r="R48" s="118"/>
      <c r="S48" s="118">
        <f>S49+S52</f>
        <v>235569.9</v>
      </c>
      <c r="T48" s="118"/>
      <c r="U48" s="118">
        <f>U49+U52</f>
        <v>235569.9</v>
      </c>
      <c r="V48" s="118">
        <f>V49</f>
        <v>0</v>
      </c>
      <c r="W48" s="118"/>
      <c r="X48" s="118">
        <f t="shared" si="3"/>
        <v>92.72215224750059</v>
      </c>
      <c r="Y48" s="118">
        <f>(S48/N48)*100</f>
        <v>100</v>
      </c>
    </row>
    <row r="49" spans="2:25" ht="11.25">
      <c r="B49" s="216" t="s">
        <v>234</v>
      </c>
      <c r="C49" s="118" t="s">
        <v>227</v>
      </c>
      <c r="D49" s="217" t="s">
        <v>231</v>
      </c>
      <c r="E49" s="217">
        <v>10</v>
      </c>
      <c r="F49" s="218"/>
      <c r="G49" s="218"/>
      <c r="H49" s="118">
        <f aca="true" t="shared" si="18" ref="H49:Q50">SUM(H50)</f>
        <v>404060</v>
      </c>
      <c r="I49" s="118"/>
      <c r="J49" s="118">
        <f t="shared" si="18"/>
        <v>404060</v>
      </c>
      <c r="K49" s="118">
        <f t="shared" si="18"/>
        <v>0</v>
      </c>
      <c r="L49" s="118"/>
      <c r="M49" s="118">
        <f t="shared" si="18"/>
        <v>254060</v>
      </c>
      <c r="N49" s="118">
        <f t="shared" si="18"/>
        <v>235569.9</v>
      </c>
      <c r="O49" s="118"/>
      <c r="P49" s="118">
        <f t="shared" si="18"/>
        <v>235569.9</v>
      </c>
      <c r="Q49" s="118">
        <f t="shared" si="18"/>
        <v>0</v>
      </c>
      <c r="R49" s="118"/>
      <c r="S49" s="118">
        <f aca="true" t="shared" si="19" ref="S49:V50">SUM(S50)</f>
        <v>235569.9</v>
      </c>
      <c r="T49" s="118"/>
      <c r="U49" s="118">
        <f t="shared" si="19"/>
        <v>235569.9</v>
      </c>
      <c r="V49" s="118">
        <f t="shared" si="19"/>
        <v>0</v>
      </c>
      <c r="W49" s="118"/>
      <c r="X49" s="118"/>
      <c r="Y49" s="118"/>
    </row>
    <row r="50" spans="2:25" ht="11.25">
      <c r="B50" s="216" t="s">
        <v>286</v>
      </c>
      <c r="C50" s="118" t="s">
        <v>227</v>
      </c>
      <c r="D50" s="217" t="s">
        <v>231</v>
      </c>
      <c r="E50" s="217">
        <v>10</v>
      </c>
      <c r="F50" s="217" t="s">
        <v>237</v>
      </c>
      <c r="G50" s="218"/>
      <c r="H50" s="118">
        <f t="shared" si="18"/>
        <v>404060</v>
      </c>
      <c r="I50" s="118"/>
      <c r="J50" s="118">
        <f t="shared" si="18"/>
        <v>404060</v>
      </c>
      <c r="K50" s="118">
        <f t="shared" si="18"/>
        <v>0</v>
      </c>
      <c r="L50" s="118"/>
      <c r="M50" s="118">
        <f t="shared" si="18"/>
        <v>254060</v>
      </c>
      <c r="N50" s="118">
        <f t="shared" si="18"/>
        <v>235569.9</v>
      </c>
      <c r="O50" s="118"/>
      <c r="P50" s="118">
        <f t="shared" si="18"/>
        <v>235569.9</v>
      </c>
      <c r="Q50" s="118">
        <f t="shared" si="18"/>
        <v>0</v>
      </c>
      <c r="R50" s="118"/>
      <c r="S50" s="118">
        <f t="shared" si="19"/>
        <v>235569.9</v>
      </c>
      <c r="T50" s="118"/>
      <c r="U50" s="118">
        <f t="shared" si="19"/>
        <v>235569.9</v>
      </c>
      <c r="V50" s="118">
        <f t="shared" si="19"/>
        <v>0</v>
      </c>
      <c r="W50" s="118"/>
      <c r="X50" s="118"/>
      <c r="Y50" s="118"/>
    </row>
    <row r="51" spans="2:25" ht="11.25">
      <c r="B51" s="216" t="s">
        <v>238</v>
      </c>
      <c r="C51" s="118" t="s">
        <v>227</v>
      </c>
      <c r="D51" s="217" t="s">
        <v>231</v>
      </c>
      <c r="E51" s="351">
        <v>10</v>
      </c>
      <c r="F51" s="217" t="s">
        <v>237</v>
      </c>
      <c r="G51" s="217" t="s">
        <v>239</v>
      </c>
      <c r="H51" s="118">
        <f>SUM(J51+K51)</f>
        <v>404060</v>
      </c>
      <c r="I51" s="118"/>
      <c r="J51" s="118">
        <f>SUM('5225100'!H110)</f>
        <v>404060</v>
      </c>
      <c r="K51" s="118">
        <f>SUM('5225100'!I110)</f>
        <v>0</v>
      </c>
      <c r="L51" s="118"/>
      <c r="M51" s="118">
        <f>SUM('5225100'!K110)</f>
        <v>254060</v>
      </c>
      <c r="N51" s="118">
        <f>SUM(P51+Q51)</f>
        <v>235569.9</v>
      </c>
      <c r="O51" s="118"/>
      <c r="P51" s="118">
        <f>SUM('5225100'!M110)</f>
        <v>235569.9</v>
      </c>
      <c r="Q51" s="118">
        <f>SUM('5225100'!N110)</f>
        <v>0</v>
      </c>
      <c r="R51" s="118"/>
      <c r="S51" s="118">
        <f>SUM(U51+V51)</f>
        <v>235569.9</v>
      </c>
      <c r="T51" s="118"/>
      <c r="U51" s="118">
        <f>SUM('5225100'!Q110)</f>
        <v>235569.9</v>
      </c>
      <c r="V51" s="118">
        <f>SUM('5225100'!R110)</f>
        <v>0</v>
      </c>
      <c r="W51" s="118"/>
      <c r="X51" s="118">
        <f t="shared" si="3"/>
        <v>92.72215224750059</v>
      </c>
      <c r="Y51" s="118">
        <f>(S51/N51)*100</f>
        <v>100</v>
      </c>
    </row>
    <row r="52" spans="2:25" ht="11.25">
      <c r="B52" s="118" t="s">
        <v>288</v>
      </c>
      <c r="C52" s="118" t="s">
        <v>227</v>
      </c>
      <c r="D52" s="217" t="s">
        <v>231</v>
      </c>
      <c r="E52" s="217" t="s">
        <v>250</v>
      </c>
      <c r="F52" s="217"/>
      <c r="G52" s="217"/>
      <c r="H52" s="118">
        <f>SUM(J52+K52)</f>
        <v>1.2</v>
      </c>
      <c r="I52" s="118"/>
      <c r="J52" s="118">
        <f>J53</f>
        <v>1.2</v>
      </c>
      <c r="K52" s="118"/>
      <c r="L52" s="118"/>
      <c r="M52" s="118">
        <f>M53</f>
        <v>0</v>
      </c>
      <c r="N52" s="118">
        <f>SUM(P52+Q52)</f>
        <v>0</v>
      </c>
      <c r="O52" s="118"/>
      <c r="P52" s="118">
        <f>P53</f>
        <v>0</v>
      </c>
      <c r="Q52" s="118"/>
      <c r="R52" s="118"/>
      <c r="S52" s="118">
        <f>S53</f>
        <v>0</v>
      </c>
      <c r="T52" s="118"/>
      <c r="U52" s="118">
        <f>U53</f>
        <v>0</v>
      </c>
      <c r="V52" s="118"/>
      <c r="W52" s="118"/>
      <c r="X52" s="118"/>
      <c r="Y52" s="118"/>
    </row>
    <row r="53" spans="2:25" ht="11.25">
      <c r="B53" s="521" t="s">
        <v>289</v>
      </c>
      <c r="C53" s="118" t="s">
        <v>227</v>
      </c>
      <c r="D53" s="217" t="s">
        <v>231</v>
      </c>
      <c r="E53" s="217" t="s">
        <v>250</v>
      </c>
      <c r="F53" s="217" t="s">
        <v>297</v>
      </c>
      <c r="G53" s="217"/>
      <c r="H53" s="118">
        <f>SUM(J53+K53)</f>
        <v>1.2</v>
      </c>
      <c r="I53" s="118"/>
      <c r="J53" s="118">
        <f>J54</f>
        <v>1.2</v>
      </c>
      <c r="K53" s="118"/>
      <c r="L53" s="118"/>
      <c r="M53" s="118">
        <f>M54</f>
        <v>0</v>
      </c>
      <c r="N53" s="118">
        <f>SUM(P53+Q53)</f>
        <v>0</v>
      </c>
      <c r="O53" s="118"/>
      <c r="P53" s="118">
        <f>P54</f>
        <v>0</v>
      </c>
      <c r="Q53" s="118"/>
      <c r="R53" s="118"/>
      <c r="S53" s="118">
        <f>S54</f>
        <v>0</v>
      </c>
      <c r="T53" s="118"/>
      <c r="U53" s="118">
        <f>U54</f>
        <v>0</v>
      </c>
      <c r="V53" s="118"/>
      <c r="W53" s="118"/>
      <c r="X53" s="118"/>
      <c r="Y53" s="118"/>
    </row>
    <row r="54" spans="2:25" ht="11.25">
      <c r="B54" s="216" t="s">
        <v>248</v>
      </c>
      <c r="C54" s="118" t="s">
        <v>227</v>
      </c>
      <c r="D54" s="217" t="s">
        <v>231</v>
      </c>
      <c r="E54" s="217" t="s">
        <v>250</v>
      </c>
      <c r="F54" s="217" t="s">
        <v>297</v>
      </c>
      <c r="G54" s="217" t="s">
        <v>249</v>
      </c>
      <c r="H54" s="118">
        <f>SUM(J54+K54)</f>
        <v>1.2</v>
      </c>
      <c r="I54" s="118"/>
      <c r="J54" s="118">
        <f>'5225100'!H106</f>
        <v>1.2</v>
      </c>
      <c r="K54" s="118">
        <f>'5225100'!I106</f>
        <v>0</v>
      </c>
      <c r="L54" s="118"/>
      <c r="M54" s="118">
        <f>'5225100'!K107</f>
        <v>0</v>
      </c>
      <c r="N54" s="118">
        <f>SUM(P54+Q54)</f>
        <v>0</v>
      </c>
      <c r="O54" s="118"/>
      <c r="P54" s="118">
        <f>'5225100'!M106</f>
        <v>0</v>
      </c>
      <c r="Q54" s="118">
        <f>'5225100'!N106</f>
        <v>0</v>
      </c>
      <c r="R54" s="118"/>
      <c r="S54" s="118">
        <f>U54</f>
        <v>0</v>
      </c>
      <c r="T54" s="118"/>
      <c r="U54" s="118">
        <f>SUM('5225100'!Q107)</f>
        <v>0</v>
      </c>
      <c r="V54" s="118"/>
      <c r="W54" s="118"/>
      <c r="X54" s="118"/>
      <c r="Y54" s="118"/>
    </row>
    <row r="55" spans="1:25" ht="45">
      <c r="A55" s="128" t="s">
        <v>336</v>
      </c>
      <c r="B55" s="520" t="s">
        <v>228</v>
      </c>
      <c r="C55" s="214" t="s">
        <v>229</v>
      </c>
      <c r="D55" s="229"/>
      <c r="E55" s="230"/>
      <c r="F55" s="229"/>
      <c r="G55" s="229"/>
      <c r="H55" s="214">
        <f aca="true" t="shared" si="20" ref="H55:S55">SUM(H56)</f>
        <v>76935.9</v>
      </c>
      <c r="I55" s="214"/>
      <c r="J55" s="214">
        <f t="shared" si="20"/>
        <v>54108.3</v>
      </c>
      <c r="K55" s="214">
        <f t="shared" si="20"/>
        <v>0</v>
      </c>
      <c r="L55" s="214">
        <f t="shared" si="20"/>
        <v>22827.6</v>
      </c>
      <c r="M55" s="214">
        <f t="shared" si="20"/>
        <v>40000</v>
      </c>
      <c r="N55" s="214">
        <f t="shared" si="20"/>
        <v>50625.4</v>
      </c>
      <c r="O55" s="214"/>
      <c r="P55" s="214">
        <f t="shared" si="20"/>
        <v>35437.8</v>
      </c>
      <c r="Q55" s="214">
        <f t="shared" si="20"/>
        <v>0</v>
      </c>
      <c r="R55" s="214">
        <f t="shared" si="20"/>
        <v>15187.6</v>
      </c>
      <c r="S55" s="214">
        <f t="shared" si="20"/>
        <v>50625.4</v>
      </c>
      <c r="T55" s="214"/>
      <c r="U55" s="214">
        <f>SUM(U56)</f>
        <v>35437.8</v>
      </c>
      <c r="V55" s="214">
        <f>SUM(V56)</f>
        <v>0</v>
      </c>
      <c r="W55" s="214">
        <f>SUM(W56)</f>
        <v>15187.6</v>
      </c>
      <c r="X55" s="230">
        <f t="shared" si="3"/>
        <v>88.59450000000001</v>
      </c>
      <c r="Y55" s="230">
        <f>(S55/N55)*100</f>
        <v>100</v>
      </c>
    </row>
    <row r="56" spans="2:25" ht="33.75">
      <c r="B56" s="224" t="s">
        <v>230</v>
      </c>
      <c r="C56" s="118" t="s">
        <v>229</v>
      </c>
      <c r="D56" s="217" t="s">
        <v>231</v>
      </c>
      <c r="E56" s="118"/>
      <c r="F56" s="218"/>
      <c r="G56" s="218"/>
      <c r="H56" s="118">
        <f aca="true" t="shared" si="21" ref="H56:S58">H57</f>
        <v>76935.9</v>
      </c>
      <c r="I56" s="118"/>
      <c r="J56" s="118">
        <f t="shared" si="21"/>
        <v>54108.3</v>
      </c>
      <c r="K56" s="118">
        <f t="shared" si="21"/>
        <v>0</v>
      </c>
      <c r="L56" s="118">
        <f t="shared" si="21"/>
        <v>22827.6</v>
      </c>
      <c r="M56" s="118">
        <f t="shared" si="21"/>
        <v>40000</v>
      </c>
      <c r="N56" s="118">
        <f t="shared" si="21"/>
        <v>50625.4</v>
      </c>
      <c r="O56" s="118"/>
      <c r="P56" s="118">
        <f t="shared" si="21"/>
        <v>35437.8</v>
      </c>
      <c r="Q56" s="118"/>
      <c r="R56" s="118">
        <f t="shared" si="21"/>
        <v>15187.6</v>
      </c>
      <c r="S56" s="118">
        <f t="shared" si="21"/>
        <v>50625.4</v>
      </c>
      <c r="T56" s="118"/>
      <c r="U56" s="118">
        <f aca="true" t="shared" si="22" ref="U56:W58">U57</f>
        <v>35437.8</v>
      </c>
      <c r="V56" s="118">
        <f t="shared" si="22"/>
        <v>0</v>
      </c>
      <c r="W56" s="118">
        <f t="shared" si="22"/>
        <v>15187.6</v>
      </c>
      <c r="X56" s="118">
        <f t="shared" si="3"/>
        <v>88.59450000000001</v>
      </c>
      <c r="Y56" s="118">
        <f>(S56/N56)*100</f>
        <v>100</v>
      </c>
    </row>
    <row r="57" spans="2:25" ht="11.25">
      <c r="B57" s="118" t="s">
        <v>234</v>
      </c>
      <c r="C57" s="118" t="s">
        <v>229</v>
      </c>
      <c r="D57" s="269" t="s">
        <v>231</v>
      </c>
      <c r="E57" s="269" t="s">
        <v>235</v>
      </c>
      <c r="F57" s="217"/>
      <c r="G57" s="217"/>
      <c r="H57" s="118">
        <f t="shared" si="21"/>
        <v>76935.9</v>
      </c>
      <c r="I57" s="118"/>
      <c r="J57" s="118">
        <f t="shared" si="21"/>
        <v>54108.3</v>
      </c>
      <c r="K57" s="118">
        <f t="shared" si="21"/>
        <v>0</v>
      </c>
      <c r="L57" s="118">
        <f t="shared" si="21"/>
        <v>22827.6</v>
      </c>
      <c r="M57" s="118">
        <f t="shared" si="21"/>
        <v>40000</v>
      </c>
      <c r="N57" s="118">
        <f t="shared" si="21"/>
        <v>50625.4</v>
      </c>
      <c r="O57" s="118"/>
      <c r="P57" s="118">
        <f t="shared" si="21"/>
        <v>35437.8</v>
      </c>
      <c r="Q57" s="118"/>
      <c r="R57" s="118">
        <f t="shared" si="21"/>
        <v>15187.6</v>
      </c>
      <c r="S57" s="118">
        <f t="shared" si="21"/>
        <v>50625.4</v>
      </c>
      <c r="T57" s="118"/>
      <c r="U57" s="118">
        <f t="shared" si="22"/>
        <v>35437.8</v>
      </c>
      <c r="V57" s="118">
        <f t="shared" si="22"/>
        <v>0</v>
      </c>
      <c r="W57" s="118">
        <f t="shared" si="22"/>
        <v>15187.6</v>
      </c>
      <c r="X57" s="118"/>
      <c r="Y57" s="118"/>
    </row>
    <row r="58" spans="2:25" ht="11.25">
      <c r="B58" s="118" t="s">
        <v>236</v>
      </c>
      <c r="C58" s="118" t="s">
        <v>229</v>
      </c>
      <c r="D58" s="269" t="s">
        <v>231</v>
      </c>
      <c r="E58" s="269" t="s">
        <v>235</v>
      </c>
      <c r="F58" s="217" t="s">
        <v>237</v>
      </c>
      <c r="G58" s="217"/>
      <c r="H58" s="118">
        <f t="shared" si="21"/>
        <v>76935.9</v>
      </c>
      <c r="I58" s="118"/>
      <c r="J58" s="118">
        <f t="shared" si="21"/>
        <v>54108.3</v>
      </c>
      <c r="K58" s="118">
        <f t="shared" si="21"/>
        <v>0</v>
      </c>
      <c r="L58" s="118">
        <f t="shared" si="21"/>
        <v>22827.6</v>
      </c>
      <c r="M58" s="118">
        <f t="shared" si="21"/>
        <v>40000</v>
      </c>
      <c r="N58" s="118">
        <f t="shared" si="21"/>
        <v>50625.4</v>
      </c>
      <c r="O58" s="118"/>
      <c r="P58" s="118">
        <f t="shared" si="21"/>
        <v>35437.8</v>
      </c>
      <c r="Q58" s="118"/>
      <c r="R58" s="118">
        <f t="shared" si="21"/>
        <v>15187.6</v>
      </c>
      <c r="S58" s="118">
        <f t="shared" si="21"/>
        <v>50625.4</v>
      </c>
      <c r="T58" s="118"/>
      <c r="U58" s="118">
        <f t="shared" si="22"/>
        <v>35437.8</v>
      </c>
      <c r="V58" s="118">
        <f t="shared" si="22"/>
        <v>0</v>
      </c>
      <c r="W58" s="118">
        <f t="shared" si="22"/>
        <v>15187.6</v>
      </c>
      <c r="X58" s="118"/>
      <c r="Y58" s="118"/>
    </row>
    <row r="59" spans="2:25" ht="11.25">
      <c r="B59" s="118" t="s">
        <v>238</v>
      </c>
      <c r="C59" s="118" t="s">
        <v>229</v>
      </c>
      <c r="D59" s="269" t="s">
        <v>231</v>
      </c>
      <c r="E59" s="269" t="s">
        <v>235</v>
      </c>
      <c r="F59" s="217" t="s">
        <v>237</v>
      </c>
      <c r="G59" s="217" t="s">
        <v>239</v>
      </c>
      <c r="H59" s="118">
        <f>I59+J59+K59+L59</f>
        <v>76935.9</v>
      </c>
      <c r="I59" s="118"/>
      <c r="J59" s="118">
        <f>SUM('5225100'!H116)</f>
        <v>54108.3</v>
      </c>
      <c r="K59" s="118">
        <f>SUM('5225100'!I116)</f>
        <v>0</v>
      </c>
      <c r="L59" s="118">
        <f>'5225100'!J116</f>
        <v>22827.6</v>
      </c>
      <c r="M59" s="118">
        <f>'5225100'!K116</f>
        <v>40000</v>
      </c>
      <c r="N59" s="118">
        <f>O59+P59+Q59+R59</f>
        <v>50625.4</v>
      </c>
      <c r="O59" s="118"/>
      <c r="P59" s="118">
        <f>'5225100'!M116</f>
        <v>35437.8</v>
      </c>
      <c r="Q59" s="118"/>
      <c r="R59" s="118">
        <f>'5225100'!O116</f>
        <v>15187.6</v>
      </c>
      <c r="S59" s="118">
        <f>T59+U59+V59+W59</f>
        <v>50625.4</v>
      </c>
      <c r="T59" s="118"/>
      <c r="U59" s="118">
        <f>'5225100'!Q116</f>
        <v>35437.8</v>
      </c>
      <c r="V59" s="118">
        <f>SUM('5225100'!T116)</f>
        <v>0</v>
      </c>
      <c r="W59" s="118">
        <f>'5225100'!S116</f>
        <v>15187.6</v>
      </c>
      <c r="X59" s="118">
        <f t="shared" si="3"/>
        <v>88.59450000000001</v>
      </c>
      <c r="Y59" s="118">
        <f>(S59/N59)*100</f>
        <v>100</v>
      </c>
    </row>
    <row r="60" spans="1:25" ht="22.5">
      <c r="A60" s="531" t="s">
        <v>383</v>
      </c>
      <c r="B60" s="520" t="s">
        <v>319</v>
      </c>
      <c r="C60" s="214" t="s">
        <v>320</v>
      </c>
      <c r="D60" s="229"/>
      <c r="E60" s="230"/>
      <c r="F60" s="229"/>
      <c r="G60" s="229"/>
      <c r="H60" s="214">
        <f aca="true" t="shared" si="23" ref="H60:W63">H61</f>
        <v>40000</v>
      </c>
      <c r="I60" s="214"/>
      <c r="J60" s="214">
        <f t="shared" si="23"/>
        <v>20000</v>
      </c>
      <c r="K60" s="214">
        <f t="shared" si="23"/>
        <v>0</v>
      </c>
      <c r="L60" s="214">
        <f t="shared" si="23"/>
        <v>20000</v>
      </c>
      <c r="M60" s="214">
        <f t="shared" si="23"/>
        <v>20000</v>
      </c>
      <c r="N60" s="214">
        <f t="shared" si="23"/>
        <v>30306.6</v>
      </c>
      <c r="O60" s="214"/>
      <c r="P60" s="214">
        <f t="shared" si="23"/>
        <v>15153.3</v>
      </c>
      <c r="Q60" s="214">
        <f t="shared" si="23"/>
        <v>0</v>
      </c>
      <c r="R60" s="214">
        <f>R61</f>
        <v>15153.3</v>
      </c>
      <c r="S60" s="214">
        <f t="shared" si="23"/>
        <v>30306.6</v>
      </c>
      <c r="T60" s="214"/>
      <c r="U60" s="214">
        <f t="shared" si="23"/>
        <v>15153.3</v>
      </c>
      <c r="V60" s="214">
        <f t="shared" si="23"/>
        <v>0</v>
      </c>
      <c r="W60" s="214">
        <f>W61</f>
        <v>15153.3</v>
      </c>
      <c r="X60" s="214">
        <f>P60/M60*100</f>
        <v>75.7665</v>
      </c>
      <c r="Y60" s="214">
        <f>U60/P60*100</f>
        <v>100</v>
      </c>
    </row>
    <row r="61" spans="2:25" ht="33.75">
      <c r="B61" s="224" t="s">
        <v>230</v>
      </c>
      <c r="C61" s="118" t="s">
        <v>320</v>
      </c>
      <c r="D61" s="217" t="s">
        <v>231</v>
      </c>
      <c r="E61" s="118" t="s">
        <v>235</v>
      </c>
      <c r="F61" s="218"/>
      <c r="G61" s="218"/>
      <c r="H61" s="118">
        <f t="shared" si="23"/>
        <v>40000</v>
      </c>
      <c r="I61" s="118"/>
      <c r="J61" s="118">
        <f t="shared" si="23"/>
        <v>20000</v>
      </c>
      <c r="K61" s="118">
        <f t="shared" si="23"/>
        <v>0</v>
      </c>
      <c r="L61" s="118">
        <f t="shared" si="23"/>
        <v>20000</v>
      </c>
      <c r="M61" s="118">
        <f t="shared" si="23"/>
        <v>20000</v>
      </c>
      <c r="N61" s="118">
        <f t="shared" si="23"/>
        <v>30306.6</v>
      </c>
      <c r="O61" s="118"/>
      <c r="P61" s="118">
        <f t="shared" si="23"/>
        <v>15153.3</v>
      </c>
      <c r="Q61" s="118">
        <f t="shared" si="23"/>
        <v>0</v>
      </c>
      <c r="R61" s="118">
        <f t="shared" si="23"/>
        <v>15153.3</v>
      </c>
      <c r="S61" s="118">
        <f t="shared" si="23"/>
        <v>30306.6</v>
      </c>
      <c r="T61" s="118"/>
      <c r="U61" s="118">
        <f t="shared" si="23"/>
        <v>15153.3</v>
      </c>
      <c r="V61" s="118">
        <f t="shared" si="23"/>
        <v>0</v>
      </c>
      <c r="W61" s="118">
        <f t="shared" si="23"/>
        <v>15153.3</v>
      </c>
      <c r="X61" s="118">
        <f>SUM(P61/M61)*100</f>
        <v>75.7665</v>
      </c>
      <c r="Y61" s="118">
        <f>(S61/N61)*100</f>
        <v>100</v>
      </c>
    </row>
    <row r="62" spans="2:25" ht="11.25">
      <c r="B62" s="118" t="s">
        <v>234</v>
      </c>
      <c r="C62" s="118" t="s">
        <v>320</v>
      </c>
      <c r="D62" s="269" t="s">
        <v>231</v>
      </c>
      <c r="E62" s="269" t="s">
        <v>235</v>
      </c>
      <c r="F62" s="217" t="s">
        <v>237</v>
      </c>
      <c r="G62" s="217"/>
      <c r="H62" s="118">
        <f t="shared" si="23"/>
        <v>40000</v>
      </c>
      <c r="I62" s="118"/>
      <c r="J62" s="118">
        <f t="shared" si="23"/>
        <v>20000</v>
      </c>
      <c r="K62" s="118">
        <f t="shared" si="23"/>
        <v>0</v>
      </c>
      <c r="L62" s="118">
        <f t="shared" si="23"/>
        <v>20000</v>
      </c>
      <c r="M62" s="118">
        <f t="shared" si="23"/>
        <v>20000</v>
      </c>
      <c r="N62" s="118">
        <f t="shared" si="23"/>
        <v>30306.6</v>
      </c>
      <c r="O62" s="118"/>
      <c r="P62" s="118">
        <f t="shared" si="23"/>
        <v>15153.3</v>
      </c>
      <c r="Q62" s="118">
        <f t="shared" si="23"/>
        <v>0</v>
      </c>
      <c r="R62" s="118">
        <f t="shared" si="23"/>
        <v>15153.3</v>
      </c>
      <c r="S62" s="118">
        <f t="shared" si="23"/>
        <v>30306.6</v>
      </c>
      <c r="T62" s="118"/>
      <c r="U62" s="118">
        <f t="shared" si="23"/>
        <v>15153.3</v>
      </c>
      <c r="V62" s="118">
        <f t="shared" si="23"/>
        <v>0</v>
      </c>
      <c r="W62" s="118">
        <f t="shared" si="23"/>
        <v>15153.3</v>
      </c>
      <c r="X62" s="118"/>
      <c r="Y62" s="118"/>
    </row>
    <row r="63" spans="2:25" ht="11.25">
      <c r="B63" s="118" t="s">
        <v>236</v>
      </c>
      <c r="C63" s="118" t="s">
        <v>320</v>
      </c>
      <c r="D63" s="269" t="s">
        <v>231</v>
      </c>
      <c r="E63" s="269" t="s">
        <v>235</v>
      </c>
      <c r="F63" s="217" t="s">
        <v>237</v>
      </c>
      <c r="G63" s="217"/>
      <c r="H63" s="118">
        <f t="shared" si="23"/>
        <v>40000</v>
      </c>
      <c r="I63" s="118"/>
      <c r="J63" s="118">
        <f t="shared" si="23"/>
        <v>20000</v>
      </c>
      <c r="K63" s="118">
        <f t="shared" si="23"/>
        <v>0</v>
      </c>
      <c r="L63" s="118">
        <f t="shared" si="23"/>
        <v>20000</v>
      </c>
      <c r="M63" s="118">
        <f t="shared" si="23"/>
        <v>20000</v>
      </c>
      <c r="N63" s="118">
        <f t="shared" si="23"/>
        <v>30306.6</v>
      </c>
      <c r="O63" s="118"/>
      <c r="P63" s="118">
        <f t="shared" si="23"/>
        <v>15153.3</v>
      </c>
      <c r="Q63" s="118">
        <f t="shared" si="23"/>
        <v>0</v>
      </c>
      <c r="R63" s="118">
        <f t="shared" si="23"/>
        <v>15153.3</v>
      </c>
      <c r="S63" s="118">
        <f t="shared" si="23"/>
        <v>30306.6</v>
      </c>
      <c r="T63" s="118"/>
      <c r="U63" s="118">
        <f t="shared" si="23"/>
        <v>15153.3</v>
      </c>
      <c r="V63" s="118">
        <f t="shared" si="23"/>
        <v>0</v>
      </c>
      <c r="W63" s="118">
        <f t="shared" si="23"/>
        <v>15153.3</v>
      </c>
      <c r="X63" s="118"/>
      <c r="Y63" s="118"/>
    </row>
    <row r="64" spans="2:25" ht="11.25">
      <c r="B64" s="118" t="s">
        <v>238</v>
      </c>
      <c r="C64" s="118" t="s">
        <v>321</v>
      </c>
      <c r="D64" s="269" t="s">
        <v>231</v>
      </c>
      <c r="E64" s="269" t="s">
        <v>235</v>
      </c>
      <c r="F64" s="217" t="s">
        <v>237</v>
      </c>
      <c r="G64" s="217" t="s">
        <v>239</v>
      </c>
      <c r="H64" s="118">
        <f>I64+J64+K64+L64</f>
        <v>40000</v>
      </c>
      <c r="I64" s="118"/>
      <c r="J64" s="118">
        <f>SUM('5225100'!H123)</f>
        <v>20000</v>
      </c>
      <c r="K64" s="118">
        <f>'5225100'!I123</f>
        <v>0</v>
      </c>
      <c r="L64" s="118">
        <f>'5225100'!J123</f>
        <v>20000</v>
      </c>
      <c r="M64" s="118">
        <f>SUM('5225100'!K123)</f>
        <v>20000</v>
      </c>
      <c r="N64" s="118">
        <f>O64+P64+Q64+R64</f>
        <v>30306.6</v>
      </c>
      <c r="O64" s="118"/>
      <c r="P64" s="118">
        <f>SUM('5225100'!M123)</f>
        <v>15153.3</v>
      </c>
      <c r="Q64" s="118">
        <f>'5225100'!N123</f>
        <v>0</v>
      </c>
      <c r="R64" s="118">
        <f>'5225100'!O123</f>
        <v>15153.3</v>
      </c>
      <c r="S64" s="118">
        <f>T64+U64+V64+W64</f>
        <v>30306.6</v>
      </c>
      <c r="T64" s="118"/>
      <c r="U64" s="118">
        <f>SUM('5225100'!Q123)</f>
        <v>15153.3</v>
      </c>
      <c r="V64" s="118">
        <f>'5225100'!R122</f>
        <v>0</v>
      </c>
      <c r="W64" s="118">
        <f>'5225100'!S123</f>
        <v>15153.3</v>
      </c>
      <c r="X64" s="118">
        <f>SUM(P64/M64)*100</f>
        <v>75.7665</v>
      </c>
      <c r="Y64" s="118">
        <f>(S64/N64)*100</f>
        <v>100</v>
      </c>
    </row>
    <row r="65" spans="1:25" ht="32.25">
      <c r="A65" s="128">
        <v>2</v>
      </c>
      <c r="B65" s="212" t="s">
        <v>232</v>
      </c>
      <c r="C65" s="214" t="s">
        <v>233</v>
      </c>
      <c r="D65" s="229"/>
      <c r="E65" s="230"/>
      <c r="F65" s="229"/>
      <c r="G65" s="229"/>
      <c r="H65" s="214">
        <f>SUM(H67+H89)</f>
        <v>801102.0959999999</v>
      </c>
      <c r="I65" s="214">
        <f>I67+I89</f>
        <v>314.996</v>
      </c>
      <c r="J65" s="214">
        <f>SUM(J67+J89)</f>
        <v>795661.3999999999</v>
      </c>
      <c r="K65" s="214">
        <f aca="true" t="shared" si="24" ref="K65:V65">SUM(K67)</f>
        <v>5125.699999999999</v>
      </c>
      <c r="L65" s="214"/>
      <c r="M65" s="214">
        <f>SUM(M67+M89)</f>
        <v>153498.2</v>
      </c>
      <c r="N65" s="214">
        <f>N67+N89</f>
        <v>94250.4</v>
      </c>
      <c r="O65" s="416"/>
      <c r="P65" s="214">
        <f t="shared" si="24"/>
        <v>94250.4</v>
      </c>
      <c r="Q65" s="214">
        <f t="shared" si="24"/>
        <v>0</v>
      </c>
      <c r="R65" s="214"/>
      <c r="S65" s="214">
        <f t="shared" si="24"/>
        <v>94250.4</v>
      </c>
      <c r="T65" s="214"/>
      <c r="U65" s="214">
        <f t="shared" si="24"/>
        <v>94250.4</v>
      </c>
      <c r="V65" s="214">
        <f t="shared" si="24"/>
        <v>0</v>
      </c>
      <c r="W65" s="214"/>
      <c r="X65" s="214">
        <f t="shared" si="3"/>
        <v>61.40163207125555</v>
      </c>
      <c r="Y65" s="214">
        <f>(S65/N65)*100</f>
        <v>100</v>
      </c>
    </row>
    <row r="66" spans="1:25" s="397" customFormat="1" ht="15" customHeight="1">
      <c r="A66" s="415"/>
      <c r="B66" s="418" t="s">
        <v>55</v>
      </c>
      <c r="C66" s="410"/>
      <c r="D66" s="419"/>
      <c r="E66" s="410"/>
      <c r="F66" s="419"/>
      <c r="G66" s="419"/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  <c r="T66" s="410"/>
      <c r="U66" s="410">
        <f>'5225200'!R9</f>
        <v>19610.699999999997</v>
      </c>
      <c r="V66" s="410">
        <f>'5225200'!S9</f>
        <v>198.1</v>
      </c>
      <c r="W66" s="410"/>
      <c r="X66" s="410"/>
      <c r="Y66" s="410"/>
    </row>
    <row r="67" spans="1:25" ht="33.75">
      <c r="A67" s="27"/>
      <c r="B67" s="224" t="s">
        <v>230</v>
      </c>
      <c r="C67" s="118" t="s">
        <v>233</v>
      </c>
      <c r="D67" s="269" t="s">
        <v>231</v>
      </c>
      <c r="E67" s="118"/>
      <c r="F67" s="218"/>
      <c r="G67" s="218"/>
      <c r="H67" s="222">
        <f aca="true" t="shared" si="25" ref="H67:Q67">H68+H75+H82+H85</f>
        <v>785578.4959999999</v>
      </c>
      <c r="I67" s="222">
        <f>I82</f>
        <v>314.996</v>
      </c>
      <c r="J67" s="222">
        <f t="shared" si="25"/>
        <v>780137.7999999999</v>
      </c>
      <c r="K67" s="222">
        <f t="shared" si="25"/>
        <v>5125.699999999999</v>
      </c>
      <c r="L67" s="222"/>
      <c r="M67" s="222">
        <f>M68+M75+M82+M85</f>
        <v>150998.2</v>
      </c>
      <c r="N67" s="222">
        <f t="shared" si="25"/>
        <v>94250.4</v>
      </c>
      <c r="O67" s="222"/>
      <c r="P67" s="222">
        <f t="shared" si="25"/>
        <v>94250.4</v>
      </c>
      <c r="Q67" s="222">
        <f t="shared" si="25"/>
        <v>0</v>
      </c>
      <c r="R67" s="222"/>
      <c r="S67" s="222">
        <f>S68+S75+S82+S85</f>
        <v>94250.4</v>
      </c>
      <c r="T67" s="222"/>
      <c r="U67" s="222">
        <f>U68+U75+U82+U85</f>
        <v>94250.4</v>
      </c>
      <c r="V67" s="222">
        <f>V68+V75+V82+V85</f>
        <v>0</v>
      </c>
      <c r="W67" s="222"/>
      <c r="X67" s="222">
        <f t="shared" si="3"/>
        <v>62.41822750204968</v>
      </c>
      <c r="Y67" s="222">
        <f>(S67/N67)*100</f>
        <v>100</v>
      </c>
    </row>
    <row r="68" spans="1:25" ht="11.25">
      <c r="A68" s="27"/>
      <c r="B68" s="118" t="s">
        <v>279</v>
      </c>
      <c r="C68" s="118" t="s">
        <v>233</v>
      </c>
      <c r="D68" s="269" t="s">
        <v>231</v>
      </c>
      <c r="E68" s="217" t="s">
        <v>271</v>
      </c>
      <c r="F68" s="218"/>
      <c r="G68" s="218"/>
      <c r="H68" s="118">
        <f>H69</f>
        <v>210021.1</v>
      </c>
      <c r="I68" s="118"/>
      <c r="J68" s="118">
        <f>J69</f>
        <v>209945.9</v>
      </c>
      <c r="K68" s="118">
        <f>K69</f>
        <v>75.2</v>
      </c>
      <c r="L68" s="118"/>
      <c r="M68" s="118">
        <f>M69</f>
        <v>81228.5</v>
      </c>
      <c r="N68" s="118">
        <f>N69</f>
        <v>54879.3</v>
      </c>
      <c r="O68" s="118"/>
      <c r="P68" s="118">
        <f>P69</f>
        <v>54879.3</v>
      </c>
      <c r="Q68" s="118">
        <f>Q69</f>
        <v>0</v>
      </c>
      <c r="R68" s="118"/>
      <c r="S68" s="118">
        <f>S69</f>
        <v>54879.3</v>
      </c>
      <c r="T68" s="118"/>
      <c r="U68" s="118">
        <f>U69</f>
        <v>54879.3</v>
      </c>
      <c r="V68" s="118">
        <f>V69</f>
        <v>0</v>
      </c>
      <c r="W68" s="118"/>
      <c r="X68" s="118">
        <f t="shared" si="3"/>
        <v>67.56163169330962</v>
      </c>
      <c r="Y68" s="118">
        <f>(S68/N68)*100</f>
        <v>100</v>
      </c>
    </row>
    <row r="69" spans="1:25" ht="11.25">
      <c r="A69" s="27"/>
      <c r="B69" s="216" t="s">
        <v>325</v>
      </c>
      <c r="C69" s="118" t="s">
        <v>233</v>
      </c>
      <c r="D69" s="269" t="s">
        <v>231</v>
      </c>
      <c r="E69" s="217" t="s">
        <v>271</v>
      </c>
      <c r="F69" s="217" t="s">
        <v>253</v>
      </c>
      <c r="G69" s="218"/>
      <c r="H69" s="118">
        <f>H70+H72+H74</f>
        <v>210021.1</v>
      </c>
      <c r="I69" s="118"/>
      <c r="J69" s="118">
        <f>J70+J72+J74</f>
        <v>209945.9</v>
      </c>
      <c r="K69" s="118">
        <f>K70+K72+K74</f>
        <v>75.2</v>
      </c>
      <c r="L69" s="118"/>
      <c r="M69" s="118">
        <f>M70+M72+M74</f>
        <v>81228.5</v>
      </c>
      <c r="N69" s="118">
        <f>N70+N72+N74</f>
        <v>54879.3</v>
      </c>
      <c r="O69" s="118"/>
      <c r="P69" s="118">
        <f>P70+P72+P74</f>
        <v>54879.3</v>
      </c>
      <c r="Q69" s="118">
        <f>Q70+Q72+Q74</f>
        <v>0</v>
      </c>
      <c r="R69" s="118"/>
      <c r="S69" s="118">
        <f>S70+S72+S74</f>
        <v>54879.3</v>
      </c>
      <c r="T69" s="118"/>
      <c r="U69" s="118">
        <f>U70+U72+U74</f>
        <v>54879.3</v>
      </c>
      <c r="V69" s="118">
        <f>V70+V72+V74</f>
        <v>0</v>
      </c>
      <c r="W69" s="118"/>
      <c r="X69" s="118">
        <f t="shared" si="3"/>
        <v>67.56163169330962</v>
      </c>
      <c r="Y69" s="118">
        <f>(S69/N69)*100</f>
        <v>100</v>
      </c>
    </row>
    <row r="70" spans="1:25" ht="11.25">
      <c r="A70" s="27"/>
      <c r="B70" s="225" t="s">
        <v>257</v>
      </c>
      <c r="C70" s="118" t="s">
        <v>233</v>
      </c>
      <c r="D70" s="269" t="s">
        <v>231</v>
      </c>
      <c r="E70" s="217" t="s">
        <v>271</v>
      </c>
      <c r="F70" s="217" t="s">
        <v>253</v>
      </c>
      <c r="G70" s="217" t="s">
        <v>258</v>
      </c>
      <c r="H70" s="118">
        <f>H71</f>
        <v>2507.6000000000004</v>
      </c>
      <c r="I70" s="118"/>
      <c r="J70" s="118">
        <f>J71</f>
        <v>2507.6000000000004</v>
      </c>
      <c r="K70" s="118">
        <f>K71</f>
        <v>0</v>
      </c>
      <c r="L70" s="118"/>
      <c r="M70" s="118">
        <f>M71</f>
        <v>1138.5</v>
      </c>
      <c r="N70" s="118">
        <f>N71</f>
        <v>0</v>
      </c>
      <c r="O70" s="118"/>
      <c r="P70" s="118">
        <f>P71</f>
        <v>0</v>
      </c>
      <c r="Q70" s="118">
        <f>Q71</f>
        <v>0</v>
      </c>
      <c r="R70" s="118"/>
      <c r="S70" s="118">
        <f>S71</f>
        <v>0</v>
      </c>
      <c r="T70" s="118"/>
      <c r="U70" s="118">
        <f>U71</f>
        <v>0</v>
      </c>
      <c r="V70" s="118">
        <f>V71</f>
        <v>0</v>
      </c>
      <c r="W70" s="118"/>
      <c r="X70" s="118">
        <f t="shared" si="3"/>
        <v>0</v>
      </c>
      <c r="Y70" s="118">
        <v>0</v>
      </c>
    </row>
    <row r="71" spans="1:25" ht="22.5">
      <c r="A71" s="27"/>
      <c r="B71" s="216" t="s">
        <v>329</v>
      </c>
      <c r="C71" s="118" t="s">
        <v>233</v>
      </c>
      <c r="D71" s="269" t="s">
        <v>231</v>
      </c>
      <c r="E71" s="217" t="s">
        <v>271</v>
      </c>
      <c r="F71" s="217" t="s">
        <v>253</v>
      </c>
      <c r="G71" s="217" t="s">
        <v>258</v>
      </c>
      <c r="H71" s="118">
        <f>SUM(J71+K71)</f>
        <v>2507.6000000000004</v>
      </c>
      <c r="I71" s="118"/>
      <c r="J71" s="118">
        <f>SUM('5225200'!I13)</f>
        <v>2507.6000000000004</v>
      </c>
      <c r="K71" s="118">
        <f>SUM('5225200'!J13)</f>
        <v>0</v>
      </c>
      <c r="L71" s="118"/>
      <c r="M71" s="118">
        <f>SUM('5225200'!K13)</f>
        <v>1138.5</v>
      </c>
      <c r="N71" s="118">
        <f>SUM(P71+Q71)</f>
        <v>0</v>
      </c>
      <c r="O71" s="118"/>
      <c r="P71" s="118">
        <f>SUM('5225200'!N13)</f>
        <v>0</v>
      </c>
      <c r="Q71" s="118">
        <f>SUM('5225200'!O13)</f>
        <v>0</v>
      </c>
      <c r="R71" s="118"/>
      <c r="S71" s="118">
        <f>SUM(U71+V71)</f>
        <v>0</v>
      </c>
      <c r="T71" s="118"/>
      <c r="U71" s="118">
        <f>SUM('5225200'!R13)</f>
        <v>0</v>
      </c>
      <c r="V71" s="118">
        <f>SUM('5225200'!S13)</f>
        <v>0</v>
      </c>
      <c r="W71" s="118"/>
      <c r="X71" s="118">
        <f t="shared" si="3"/>
        <v>0</v>
      </c>
      <c r="Y71" s="118">
        <v>0</v>
      </c>
    </row>
    <row r="72" spans="1:25" ht="11.25">
      <c r="A72" s="27"/>
      <c r="B72" s="216" t="s">
        <v>240</v>
      </c>
      <c r="C72" s="350" t="s">
        <v>233</v>
      </c>
      <c r="D72" s="269" t="s">
        <v>231</v>
      </c>
      <c r="E72" s="217" t="s">
        <v>271</v>
      </c>
      <c r="F72" s="217" t="s">
        <v>253</v>
      </c>
      <c r="G72" s="217" t="s">
        <v>241</v>
      </c>
      <c r="H72" s="118">
        <f>H73</f>
        <v>7513.5</v>
      </c>
      <c r="I72" s="118"/>
      <c r="J72" s="118">
        <f>J73</f>
        <v>7438.3</v>
      </c>
      <c r="K72" s="118">
        <f>K73</f>
        <v>75.2</v>
      </c>
      <c r="L72" s="118"/>
      <c r="M72" s="118">
        <f>M73</f>
        <v>90</v>
      </c>
      <c r="N72" s="118">
        <f>N73</f>
        <v>0</v>
      </c>
      <c r="O72" s="118"/>
      <c r="P72" s="118">
        <f>P73</f>
        <v>0</v>
      </c>
      <c r="Q72" s="118">
        <f>Q73</f>
        <v>0</v>
      </c>
      <c r="R72" s="118"/>
      <c r="S72" s="118">
        <f>S73</f>
        <v>0</v>
      </c>
      <c r="T72" s="118"/>
      <c r="U72" s="118">
        <f>U73</f>
        <v>0</v>
      </c>
      <c r="V72" s="118">
        <f>V73</f>
        <v>0</v>
      </c>
      <c r="W72" s="118"/>
      <c r="X72" s="118"/>
      <c r="Y72" s="118"/>
    </row>
    <row r="73" spans="1:25" ht="11.25">
      <c r="A73" s="27"/>
      <c r="B73" s="216" t="s">
        <v>242</v>
      </c>
      <c r="C73" s="350" t="s">
        <v>233</v>
      </c>
      <c r="D73" s="269" t="s">
        <v>231</v>
      </c>
      <c r="E73" s="217" t="s">
        <v>271</v>
      </c>
      <c r="F73" s="217" t="s">
        <v>253</v>
      </c>
      <c r="G73" s="217" t="s">
        <v>241</v>
      </c>
      <c r="H73" s="118">
        <f>J73+K73</f>
        <v>7513.5</v>
      </c>
      <c r="I73" s="118"/>
      <c r="J73" s="118">
        <f>'5225200'!I17</f>
        <v>7438.3</v>
      </c>
      <c r="K73" s="118">
        <f>'5225200'!J17</f>
        <v>75.2</v>
      </c>
      <c r="L73" s="118"/>
      <c r="M73" s="118">
        <f>'5225200'!K17</f>
        <v>90</v>
      </c>
      <c r="N73" s="118">
        <f>P73+Q73</f>
        <v>0</v>
      </c>
      <c r="O73" s="118"/>
      <c r="P73" s="118">
        <f>'5225200'!N18</f>
        <v>0</v>
      </c>
      <c r="Q73" s="118">
        <f>'5225200'!O17</f>
        <v>0</v>
      </c>
      <c r="R73" s="118"/>
      <c r="S73" s="118">
        <f>U73+V73</f>
        <v>0</v>
      </c>
      <c r="T73" s="118"/>
      <c r="U73" s="118">
        <f>'5225200'!R18</f>
        <v>0</v>
      </c>
      <c r="V73" s="118">
        <f>'5225200'!S17</f>
        <v>0</v>
      </c>
      <c r="W73" s="118"/>
      <c r="X73" s="118">
        <v>0</v>
      </c>
      <c r="Y73" s="118">
        <v>0</v>
      </c>
    </row>
    <row r="74" spans="1:25" ht="22.5">
      <c r="A74" s="27"/>
      <c r="B74" s="413" t="s">
        <v>54</v>
      </c>
      <c r="C74" s="118" t="s">
        <v>233</v>
      </c>
      <c r="D74" s="269" t="s">
        <v>231</v>
      </c>
      <c r="E74" s="217" t="s">
        <v>271</v>
      </c>
      <c r="F74" s="217" t="s">
        <v>253</v>
      </c>
      <c r="G74" s="217" t="s">
        <v>478</v>
      </c>
      <c r="H74" s="118">
        <f>J74+K74</f>
        <v>200000</v>
      </c>
      <c r="I74" s="118"/>
      <c r="J74" s="118">
        <f>'5225200'!I22</f>
        <v>200000</v>
      </c>
      <c r="K74" s="118"/>
      <c r="L74" s="118"/>
      <c r="M74" s="118">
        <f>'5225200'!K22</f>
        <v>80000</v>
      </c>
      <c r="N74" s="118">
        <f>P74+Q74</f>
        <v>54879.3</v>
      </c>
      <c r="O74" s="118"/>
      <c r="P74" s="118">
        <f>'5225200'!N22</f>
        <v>54879.3</v>
      </c>
      <c r="Q74" s="118"/>
      <c r="R74" s="118"/>
      <c r="S74" s="118">
        <f>U74+V74</f>
        <v>54879.3</v>
      </c>
      <c r="T74" s="118"/>
      <c r="U74" s="118">
        <f>'5225200'!R22</f>
        <v>54879.3</v>
      </c>
      <c r="V74" s="118"/>
      <c r="W74" s="118"/>
      <c r="X74" s="118">
        <f>SUM(P74/M74)*100</f>
        <v>68.599125</v>
      </c>
      <c r="Y74" s="118">
        <f>(S74/N74)*100</f>
        <v>100</v>
      </c>
    </row>
    <row r="75" spans="1:25" ht="11.25">
      <c r="A75" s="27"/>
      <c r="B75" s="414" t="s">
        <v>255</v>
      </c>
      <c r="C75" s="118" t="s">
        <v>233</v>
      </c>
      <c r="D75" s="269" t="s">
        <v>231</v>
      </c>
      <c r="E75" s="217" t="s">
        <v>253</v>
      </c>
      <c r="F75" s="217"/>
      <c r="G75" s="217"/>
      <c r="H75" s="118">
        <f aca="true" t="shared" si="26" ref="H75:Q75">H76+H79</f>
        <v>57832.200000000004</v>
      </c>
      <c r="I75" s="118"/>
      <c r="J75" s="118">
        <f t="shared" si="26"/>
        <v>57832.200000000004</v>
      </c>
      <c r="K75" s="118">
        <f t="shared" si="26"/>
        <v>0</v>
      </c>
      <c r="L75" s="118"/>
      <c r="M75" s="118">
        <f t="shared" si="26"/>
        <v>42059.4</v>
      </c>
      <c r="N75" s="118">
        <f t="shared" si="26"/>
        <v>39371.1</v>
      </c>
      <c r="O75" s="118"/>
      <c r="P75" s="118">
        <f t="shared" si="26"/>
        <v>39371.1</v>
      </c>
      <c r="Q75" s="118">
        <f t="shared" si="26"/>
        <v>0</v>
      </c>
      <c r="R75" s="118"/>
      <c r="S75" s="118">
        <f>S76+S79</f>
        <v>39371.1</v>
      </c>
      <c r="T75" s="118"/>
      <c r="U75" s="118">
        <f>U76+U79</f>
        <v>39371.1</v>
      </c>
      <c r="V75" s="118">
        <f>V76+V79</f>
        <v>0</v>
      </c>
      <c r="W75" s="118"/>
      <c r="X75" s="118">
        <f>SUM(P75/M75)*100</f>
        <v>93.60832536840753</v>
      </c>
      <c r="Y75" s="118">
        <f>(S75/N75)*100</f>
        <v>100</v>
      </c>
    </row>
    <row r="76" spans="1:25" ht="11.25">
      <c r="A76" s="27"/>
      <c r="B76" s="414" t="s">
        <v>254</v>
      </c>
      <c r="C76" s="118" t="s">
        <v>233</v>
      </c>
      <c r="D76" s="269" t="s">
        <v>231</v>
      </c>
      <c r="E76" s="217" t="s">
        <v>253</v>
      </c>
      <c r="F76" s="217" t="s">
        <v>250</v>
      </c>
      <c r="G76" s="217"/>
      <c r="H76" s="118">
        <f aca="true" t="shared" si="27" ref="H76:Q77">H77</f>
        <v>51510.4</v>
      </c>
      <c r="I76" s="118"/>
      <c r="J76" s="118">
        <f t="shared" si="27"/>
        <v>51510.4</v>
      </c>
      <c r="K76" s="118">
        <f t="shared" si="27"/>
        <v>0</v>
      </c>
      <c r="L76" s="118"/>
      <c r="M76" s="118">
        <f t="shared" si="27"/>
        <v>42059.4</v>
      </c>
      <c r="N76" s="118">
        <f t="shared" si="27"/>
        <v>39371.1</v>
      </c>
      <c r="O76" s="118"/>
      <c r="P76" s="118">
        <f t="shared" si="27"/>
        <v>39371.1</v>
      </c>
      <c r="Q76" s="118">
        <f t="shared" si="27"/>
        <v>0</v>
      </c>
      <c r="R76" s="118"/>
      <c r="S76" s="118">
        <f aca="true" t="shared" si="28" ref="S76:V77">S77</f>
        <v>39371.1</v>
      </c>
      <c r="T76" s="118"/>
      <c r="U76" s="118">
        <f t="shared" si="28"/>
        <v>39371.1</v>
      </c>
      <c r="V76" s="118">
        <f t="shared" si="28"/>
        <v>0</v>
      </c>
      <c r="W76" s="118"/>
      <c r="X76" s="118"/>
      <c r="Y76" s="118"/>
    </row>
    <row r="77" spans="1:25" ht="11.25">
      <c r="A77" s="27"/>
      <c r="B77" s="225" t="s">
        <v>257</v>
      </c>
      <c r="C77" s="118" t="s">
        <v>233</v>
      </c>
      <c r="D77" s="269" t="s">
        <v>231</v>
      </c>
      <c r="E77" s="217" t="s">
        <v>253</v>
      </c>
      <c r="F77" s="217" t="s">
        <v>250</v>
      </c>
      <c r="G77" s="217" t="s">
        <v>258</v>
      </c>
      <c r="H77" s="118">
        <f t="shared" si="27"/>
        <v>51510.4</v>
      </c>
      <c r="I77" s="118"/>
      <c r="J77" s="118">
        <f t="shared" si="27"/>
        <v>51510.4</v>
      </c>
      <c r="K77" s="118">
        <f t="shared" si="27"/>
        <v>0</v>
      </c>
      <c r="L77" s="118"/>
      <c r="M77" s="118">
        <f t="shared" si="27"/>
        <v>42059.4</v>
      </c>
      <c r="N77" s="118">
        <f t="shared" si="27"/>
        <v>39371.1</v>
      </c>
      <c r="O77" s="118"/>
      <c r="P77" s="118">
        <f t="shared" si="27"/>
        <v>39371.1</v>
      </c>
      <c r="Q77" s="118">
        <f t="shared" si="27"/>
        <v>0</v>
      </c>
      <c r="R77" s="118"/>
      <c r="S77" s="118">
        <f t="shared" si="28"/>
        <v>39371.1</v>
      </c>
      <c r="T77" s="118"/>
      <c r="U77" s="118">
        <f t="shared" si="28"/>
        <v>39371.1</v>
      </c>
      <c r="V77" s="118">
        <f t="shared" si="28"/>
        <v>0</v>
      </c>
      <c r="W77" s="118"/>
      <c r="X77" s="118"/>
      <c r="Y77" s="118"/>
    </row>
    <row r="78" spans="1:25" ht="22.5">
      <c r="A78" s="27"/>
      <c r="B78" s="216" t="s">
        <v>329</v>
      </c>
      <c r="C78" s="118" t="s">
        <v>233</v>
      </c>
      <c r="D78" s="269" t="s">
        <v>231</v>
      </c>
      <c r="E78" s="217" t="s">
        <v>253</v>
      </c>
      <c r="F78" s="217" t="s">
        <v>250</v>
      </c>
      <c r="G78" s="217" t="s">
        <v>258</v>
      </c>
      <c r="H78" s="118">
        <f>'5225200'!G26</f>
        <v>51510.4</v>
      </c>
      <c r="I78" s="118"/>
      <c r="J78" s="118">
        <f>'5225200'!I26</f>
        <v>51510.4</v>
      </c>
      <c r="K78" s="118">
        <f>'5225200'!J26</f>
        <v>0</v>
      </c>
      <c r="L78" s="118"/>
      <c r="M78" s="118">
        <f>'5225200'!K26</f>
        <v>42059.4</v>
      </c>
      <c r="N78" s="118">
        <f>'5225200'!L26</f>
        <v>39371.1</v>
      </c>
      <c r="O78" s="118"/>
      <c r="P78" s="118">
        <f>'5225200'!N26</f>
        <v>39371.1</v>
      </c>
      <c r="Q78" s="118">
        <f>'5225200'!O26</f>
        <v>0</v>
      </c>
      <c r="R78" s="118"/>
      <c r="S78" s="118">
        <f>'5225200'!P26</f>
        <v>39371.1</v>
      </c>
      <c r="T78" s="118"/>
      <c r="U78" s="118">
        <f>'5225200'!R26</f>
        <v>39371.1</v>
      </c>
      <c r="V78" s="118">
        <f>'5225200'!S26</f>
        <v>0</v>
      </c>
      <c r="W78" s="118"/>
      <c r="X78" s="118">
        <f>SUM(P78/M78)*100</f>
        <v>93.60832536840753</v>
      </c>
      <c r="Y78" s="118">
        <f>(S78/N78)*100</f>
        <v>100</v>
      </c>
    </row>
    <row r="79" spans="1:25" ht="11.25">
      <c r="A79" s="27"/>
      <c r="B79" s="414" t="s">
        <v>283</v>
      </c>
      <c r="C79" s="118" t="s">
        <v>233</v>
      </c>
      <c r="D79" s="269" t="s">
        <v>231</v>
      </c>
      <c r="E79" s="217" t="s">
        <v>253</v>
      </c>
      <c r="F79" s="217" t="s">
        <v>256</v>
      </c>
      <c r="G79" s="217"/>
      <c r="H79" s="118">
        <f aca="true" t="shared" si="29" ref="H79:Q80">H80</f>
        <v>6321.8</v>
      </c>
      <c r="I79" s="118"/>
      <c r="J79" s="118">
        <f t="shared" si="29"/>
        <v>6321.8</v>
      </c>
      <c r="K79" s="118">
        <f t="shared" si="29"/>
        <v>0</v>
      </c>
      <c r="L79" s="118"/>
      <c r="M79" s="118">
        <f t="shared" si="29"/>
        <v>0</v>
      </c>
      <c r="N79" s="118">
        <f t="shared" si="29"/>
        <v>0</v>
      </c>
      <c r="O79" s="118"/>
      <c r="P79" s="118">
        <f t="shared" si="29"/>
        <v>0</v>
      </c>
      <c r="Q79" s="118">
        <f t="shared" si="29"/>
        <v>0</v>
      </c>
      <c r="R79" s="118"/>
      <c r="S79" s="118">
        <f aca="true" t="shared" si="30" ref="S79:V80">S80</f>
        <v>0</v>
      </c>
      <c r="T79" s="118"/>
      <c r="U79" s="118">
        <f t="shared" si="30"/>
        <v>0</v>
      </c>
      <c r="V79" s="118">
        <f t="shared" si="30"/>
        <v>0</v>
      </c>
      <c r="W79" s="118"/>
      <c r="X79" s="118"/>
      <c r="Y79" s="118"/>
    </row>
    <row r="80" spans="1:25" ht="11.25">
      <c r="A80" s="27"/>
      <c r="B80" s="225" t="s">
        <v>257</v>
      </c>
      <c r="C80" s="118" t="s">
        <v>233</v>
      </c>
      <c r="D80" s="269" t="s">
        <v>231</v>
      </c>
      <c r="E80" s="217" t="s">
        <v>253</v>
      </c>
      <c r="F80" s="217" t="s">
        <v>256</v>
      </c>
      <c r="G80" s="217" t="s">
        <v>258</v>
      </c>
      <c r="H80" s="118">
        <f t="shared" si="29"/>
        <v>6321.8</v>
      </c>
      <c r="I80" s="118"/>
      <c r="J80" s="118">
        <f t="shared" si="29"/>
        <v>6321.8</v>
      </c>
      <c r="K80" s="118">
        <f t="shared" si="29"/>
        <v>0</v>
      </c>
      <c r="L80" s="118"/>
      <c r="M80" s="118">
        <f t="shared" si="29"/>
        <v>0</v>
      </c>
      <c r="N80" s="118">
        <f t="shared" si="29"/>
        <v>0</v>
      </c>
      <c r="O80" s="118"/>
      <c r="P80" s="118">
        <f t="shared" si="29"/>
        <v>0</v>
      </c>
      <c r="Q80" s="118">
        <f t="shared" si="29"/>
        <v>0</v>
      </c>
      <c r="R80" s="118"/>
      <c r="S80" s="118">
        <f t="shared" si="30"/>
        <v>0</v>
      </c>
      <c r="T80" s="118"/>
      <c r="U80" s="118">
        <f t="shared" si="30"/>
        <v>0</v>
      </c>
      <c r="V80" s="118">
        <f t="shared" si="30"/>
        <v>0</v>
      </c>
      <c r="W80" s="118"/>
      <c r="X80" s="118"/>
      <c r="Y80" s="118"/>
    </row>
    <row r="81" spans="1:25" ht="22.5">
      <c r="A81" s="27"/>
      <c r="B81" s="216" t="s">
        <v>329</v>
      </c>
      <c r="C81" s="118" t="s">
        <v>233</v>
      </c>
      <c r="D81" s="269" t="s">
        <v>231</v>
      </c>
      <c r="E81" s="217" t="s">
        <v>253</v>
      </c>
      <c r="F81" s="217" t="s">
        <v>256</v>
      </c>
      <c r="G81" s="217" t="s">
        <v>258</v>
      </c>
      <c r="H81" s="118">
        <f>'5225200'!G30</f>
        <v>6321.8</v>
      </c>
      <c r="I81" s="118"/>
      <c r="J81" s="118">
        <f>'5225200'!I30</f>
        <v>6321.8</v>
      </c>
      <c r="K81" s="118">
        <f>'5225200'!J30</f>
        <v>0</v>
      </c>
      <c r="L81" s="118"/>
      <c r="M81" s="118">
        <f>'5225200'!K30</f>
        <v>0</v>
      </c>
      <c r="N81" s="118">
        <f>'5225200'!L30</f>
        <v>0</v>
      </c>
      <c r="O81" s="118"/>
      <c r="P81" s="118">
        <f>'5225200'!N30</f>
        <v>0</v>
      </c>
      <c r="Q81" s="118">
        <f>'5225200'!O30</f>
        <v>0</v>
      </c>
      <c r="R81" s="118"/>
      <c r="S81" s="118">
        <f>'5225200'!P30</f>
        <v>0</v>
      </c>
      <c r="T81" s="118"/>
      <c r="U81" s="118">
        <f>'5225200'!R30</f>
        <v>0</v>
      </c>
      <c r="V81" s="118">
        <f>'5225200'!S30</f>
        <v>0</v>
      </c>
      <c r="W81" s="118"/>
      <c r="X81" s="118"/>
      <c r="Y81" s="118"/>
    </row>
    <row r="82" spans="1:25" ht="11.25">
      <c r="A82" s="27"/>
      <c r="B82" s="216" t="s">
        <v>234</v>
      </c>
      <c r="C82" s="118" t="s">
        <v>233</v>
      </c>
      <c r="D82" s="269" t="s">
        <v>231</v>
      </c>
      <c r="E82" s="217" t="s">
        <v>235</v>
      </c>
      <c r="F82" s="217"/>
      <c r="G82" s="217"/>
      <c r="H82" s="118">
        <f aca="true" t="shared" si="31" ref="H82:Q83">H83</f>
        <v>12675.996</v>
      </c>
      <c r="I82" s="118">
        <f t="shared" si="31"/>
        <v>314.996</v>
      </c>
      <c r="J82" s="118">
        <f t="shared" si="31"/>
        <v>12361</v>
      </c>
      <c r="K82" s="118">
        <f t="shared" si="31"/>
        <v>0</v>
      </c>
      <c r="L82" s="118"/>
      <c r="M82" s="118">
        <f t="shared" si="31"/>
        <v>3090.3</v>
      </c>
      <c r="N82" s="118">
        <f t="shared" si="31"/>
        <v>0</v>
      </c>
      <c r="O82" s="118">
        <f t="shared" si="31"/>
        <v>0</v>
      </c>
      <c r="P82" s="118">
        <f t="shared" si="31"/>
        <v>0</v>
      </c>
      <c r="Q82" s="118">
        <f t="shared" si="31"/>
        <v>0</v>
      </c>
      <c r="R82" s="118"/>
      <c r="S82" s="118">
        <f aca="true" t="shared" si="32" ref="S82:V83">S83</f>
        <v>0</v>
      </c>
      <c r="T82" s="118">
        <f t="shared" si="32"/>
        <v>0</v>
      </c>
      <c r="U82" s="118">
        <f t="shared" si="32"/>
        <v>0</v>
      </c>
      <c r="V82" s="118">
        <f t="shared" si="32"/>
        <v>0</v>
      </c>
      <c r="W82" s="118"/>
      <c r="X82" s="118">
        <f>SUM(P82/M82)*100</f>
        <v>0</v>
      </c>
      <c r="Y82" s="118">
        <v>0</v>
      </c>
    </row>
    <row r="83" spans="1:25" ht="11.25">
      <c r="A83" s="27"/>
      <c r="B83" s="216" t="s">
        <v>286</v>
      </c>
      <c r="C83" s="118" t="s">
        <v>233</v>
      </c>
      <c r="D83" s="269" t="s">
        <v>231</v>
      </c>
      <c r="E83" s="217" t="s">
        <v>235</v>
      </c>
      <c r="F83" s="217" t="s">
        <v>237</v>
      </c>
      <c r="G83" s="217"/>
      <c r="H83" s="118">
        <f t="shared" si="31"/>
        <v>12675.996</v>
      </c>
      <c r="I83" s="118">
        <f t="shared" si="31"/>
        <v>314.996</v>
      </c>
      <c r="J83" s="118">
        <f t="shared" si="31"/>
        <v>12361</v>
      </c>
      <c r="K83" s="118">
        <f t="shared" si="31"/>
        <v>0</v>
      </c>
      <c r="L83" s="118"/>
      <c r="M83" s="118">
        <f t="shared" si="31"/>
        <v>3090.3</v>
      </c>
      <c r="N83" s="118">
        <f t="shared" si="31"/>
        <v>0</v>
      </c>
      <c r="O83" s="118">
        <f t="shared" si="31"/>
        <v>0</v>
      </c>
      <c r="P83" s="118">
        <f t="shared" si="31"/>
        <v>0</v>
      </c>
      <c r="Q83" s="118">
        <f t="shared" si="31"/>
        <v>0</v>
      </c>
      <c r="R83" s="118"/>
      <c r="S83" s="118">
        <f t="shared" si="32"/>
        <v>0</v>
      </c>
      <c r="T83" s="118">
        <f t="shared" si="32"/>
        <v>0</v>
      </c>
      <c r="U83" s="118">
        <f t="shared" si="32"/>
        <v>0</v>
      </c>
      <c r="V83" s="118">
        <f t="shared" si="32"/>
        <v>0</v>
      </c>
      <c r="W83" s="118"/>
      <c r="X83" s="118"/>
      <c r="Y83" s="118"/>
    </row>
    <row r="84" spans="1:25" ht="11.25">
      <c r="A84" s="27"/>
      <c r="B84" s="216" t="s">
        <v>238</v>
      </c>
      <c r="C84" s="118" t="s">
        <v>233</v>
      </c>
      <c r="D84" s="269" t="s">
        <v>231</v>
      </c>
      <c r="E84" s="217" t="s">
        <v>235</v>
      </c>
      <c r="F84" s="217" t="s">
        <v>237</v>
      </c>
      <c r="G84" s="217" t="s">
        <v>239</v>
      </c>
      <c r="H84" s="118">
        <f>I84+J84</f>
        <v>12675.996</v>
      </c>
      <c r="I84" s="118">
        <f>'5225200'!H36</f>
        <v>314.996</v>
      </c>
      <c r="J84" s="118">
        <f>'5225200'!I36</f>
        <v>12361</v>
      </c>
      <c r="K84" s="118">
        <f>'5225200'!J36</f>
        <v>0</v>
      </c>
      <c r="L84" s="118"/>
      <c r="M84" s="118">
        <f>'5225200'!K36</f>
        <v>3090.3</v>
      </c>
      <c r="N84" s="118">
        <f>O84+P84</f>
        <v>0</v>
      </c>
      <c r="O84" s="118">
        <f>'5225200'!M36</f>
        <v>0</v>
      </c>
      <c r="P84" s="118">
        <f>'5225200'!N36</f>
        <v>0</v>
      </c>
      <c r="Q84" s="118">
        <f>'5225200'!O36</f>
        <v>0</v>
      </c>
      <c r="R84" s="118"/>
      <c r="S84" s="118">
        <f>T84+U84</f>
        <v>0</v>
      </c>
      <c r="T84" s="118">
        <f>'5225200'!Q36</f>
        <v>0</v>
      </c>
      <c r="U84" s="118">
        <f>'5225200'!R36</f>
        <v>0</v>
      </c>
      <c r="V84" s="118">
        <f>'5225200'!S36</f>
        <v>0</v>
      </c>
      <c r="W84" s="118"/>
      <c r="X84" s="118">
        <f>SUM(P84/M84)*100</f>
        <v>0</v>
      </c>
      <c r="Y84" s="118">
        <v>0</v>
      </c>
    </row>
    <row r="85" spans="1:25" ht="33.75">
      <c r="A85" s="27"/>
      <c r="B85" s="216" t="s">
        <v>243</v>
      </c>
      <c r="C85" s="350" t="s">
        <v>233</v>
      </c>
      <c r="D85" s="269" t="s">
        <v>231</v>
      </c>
      <c r="E85" s="351">
        <v>14</v>
      </c>
      <c r="F85" s="217"/>
      <c r="G85" s="217"/>
      <c r="H85" s="118">
        <f aca="true" t="shared" si="33" ref="H85:Q87">H86</f>
        <v>505049.19999999995</v>
      </c>
      <c r="I85" s="118"/>
      <c r="J85" s="118">
        <f t="shared" si="33"/>
        <v>499998.69999999995</v>
      </c>
      <c r="K85" s="118">
        <f t="shared" si="33"/>
        <v>5050.499999999999</v>
      </c>
      <c r="L85" s="118"/>
      <c r="M85" s="118">
        <f t="shared" si="33"/>
        <v>24620</v>
      </c>
      <c r="N85" s="118">
        <f t="shared" si="33"/>
        <v>0</v>
      </c>
      <c r="O85" s="118"/>
      <c r="P85" s="118">
        <f t="shared" si="33"/>
        <v>0</v>
      </c>
      <c r="Q85" s="118">
        <f t="shared" si="33"/>
        <v>0</v>
      </c>
      <c r="R85" s="118"/>
      <c r="S85" s="118">
        <f aca="true" t="shared" si="34" ref="S85:V87">S86</f>
        <v>0</v>
      </c>
      <c r="T85" s="118"/>
      <c r="U85" s="118">
        <f t="shared" si="34"/>
        <v>0</v>
      </c>
      <c r="V85" s="118">
        <f t="shared" si="34"/>
        <v>0</v>
      </c>
      <c r="W85" s="118"/>
      <c r="X85" s="118">
        <f t="shared" si="3"/>
        <v>0</v>
      </c>
      <c r="Y85" s="118">
        <v>0</v>
      </c>
    </row>
    <row r="86" spans="1:25" ht="22.5">
      <c r="A86" s="27"/>
      <c r="B86" s="216" t="s">
        <v>244</v>
      </c>
      <c r="C86" s="350" t="s">
        <v>233</v>
      </c>
      <c r="D86" s="269" t="s">
        <v>231</v>
      </c>
      <c r="E86" s="351">
        <v>14</v>
      </c>
      <c r="F86" s="217" t="s">
        <v>237</v>
      </c>
      <c r="G86" s="217"/>
      <c r="H86" s="118">
        <f t="shared" si="33"/>
        <v>505049.19999999995</v>
      </c>
      <c r="I86" s="118"/>
      <c r="J86" s="118">
        <f t="shared" si="33"/>
        <v>499998.69999999995</v>
      </c>
      <c r="K86" s="118">
        <f t="shared" si="33"/>
        <v>5050.499999999999</v>
      </c>
      <c r="L86" s="118"/>
      <c r="M86" s="118">
        <f t="shared" si="33"/>
        <v>24620</v>
      </c>
      <c r="N86" s="118">
        <f t="shared" si="33"/>
        <v>0</v>
      </c>
      <c r="O86" s="118"/>
      <c r="P86" s="118">
        <f t="shared" si="33"/>
        <v>0</v>
      </c>
      <c r="Q86" s="118">
        <f t="shared" si="33"/>
        <v>0</v>
      </c>
      <c r="R86" s="118"/>
      <c r="S86" s="118">
        <f t="shared" si="34"/>
        <v>0</v>
      </c>
      <c r="T86" s="118"/>
      <c r="U86" s="118">
        <f t="shared" si="34"/>
        <v>0</v>
      </c>
      <c r="V86" s="118">
        <f t="shared" si="34"/>
        <v>0</v>
      </c>
      <c r="W86" s="118"/>
      <c r="X86" s="118"/>
      <c r="Y86" s="118"/>
    </row>
    <row r="87" spans="1:25" ht="11.25">
      <c r="A87" s="27"/>
      <c r="B87" s="216" t="s">
        <v>240</v>
      </c>
      <c r="C87" s="350" t="s">
        <v>233</v>
      </c>
      <c r="D87" s="269" t="s">
        <v>231</v>
      </c>
      <c r="E87" s="351">
        <v>14</v>
      </c>
      <c r="F87" s="217" t="s">
        <v>237</v>
      </c>
      <c r="G87" s="217" t="s">
        <v>241</v>
      </c>
      <c r="H87" s="118">
        <f t="shared" si="33"/>
        <v>505049.19999999995</v>
      </c>
      <c r="I87" s="118"/>
      <c r="J87" s="118">
        <f t="shared" si="33"/>
        <v>499998.69999999995</v>
      </c>
      <c r="K87" s="118">
        <f t="shared" si="33"/>
        <v>5050.499999999999</v>
      </c>
      <c r="L87" s="118"/>
      <c r="M87" s="118">
        <f t="shared" si="33"/>
        <v>24620</v>
      </c>
      <c r="N87" s="118">
        <f t="shared" si="33"/>
        <v>0</v>
      </c>
      <c r="O87" s="118"/>
      <c r="P87" s="118">
        <f t="shared" si="33"/>
        <v>0</v>
      </c>
      <c r="Q87" s="118">
        <f t="shared" si="33"/>
        <v>0</v>
      </c>
      <c r="R87" s="118"/>
      <c r="S87" s="118">
        <f t="shared" si="34"/>
        <v>0</v>
      </c>
      <c r="T87" s="118"/>
      <c r="U87" s="118">
        <f t="shared" si="34"/>
        <v>0</v>
      </c>
      <c r="V87" s="118">
        <f t="shared" si="34"/>
        <v>0</v>
      </c>
      <c r="W87" s="118"/>
      <c r="X87" s="118"/>
      <c r="Y87" s="118"/>
    </row>
    <row r="88" spans="1:25" ht="11.25">
      <c r="A88" s="27"/>
      <c r="B88" s="216" t="s">
        <v>242</v>
      </c>
      <c r="C88" s="350" t="s">
        <v>233</v>
      </c>
      <c r="D88" s="269" t="s">
        <v>231</v>
      </c>
      <c r="E88" s="351">
        <v>14</v>
      </c>
      <c r="F88" s="217" t="s">
        <v>237</v>
      </c>
      <c r="G88" s="217" t="s">
        <v>241</v>
      </c>
      <c r="H88" s="118">
        <f>SUM(J88+K88)</f>
        <v>505049.19999999995</v>
      </c>
      <c r="I88" s="118"/>
      <c r="J88" s="118">
        <f>SUM('5225200'!I41)</f>
        <v>499998.69999999995</v>
      </c>
      <c r="K88" s="118">
        <f>SUM('5225200'!J41)</f>
        <v>5050.499999999999</v>
      </c>
      <c r="L88" s="118"/>
      <c r="M88" s="118">
        <f>SUM('5225200'!K41)</f>
        <v>24620</v>
      </c>
      <c r="N88" s="118">
        <f>P88+Q88</f>
        <v>0</v>
      </c>
      <c r="O88" s="118"/>
      <c r="P88" s="118">
        <f>SUM('5225200'!N41)</f>
        <v>0</v>
      </c>
      <c r="Q88" s="118">
        <f>SUM('5225200'!O41)</f>
        <v>0</v>
      </c>
      <c r="R88" s="118"/>
      <c r="S88" s="118">
        <f>U88+V88</f>
        <v>0</v>
      </c>
      <c r="T88" s="118"/>
      <c r="U88" s="118">
        <f>SUM('5225200'!R41)</f>
        <v>0</v>
      </c>
      <c r="V88" s="118">
        <f>SUM('5225200'!S41)</f>
        <v>0</v>
      </c>
      <c r="W88" s="118"/>
      <c r="X88" s="118">
        <f t="shared" si="3"/>
        <v>0</v>
      </c>
      <c r="Y88" s="118">
        <v>0</v>
      </c>
    </row>
    <row r="89" spans="1:25" ht="27" customHeight="1">
      <c r="A89" s="27"/>
      <c r="B89" s="224" t="s">
        <v>251</v>
      </c>
      <c r="C89" s="350" t="s">
        <v>233</v>
      </c>
      <c r="D89" s="218" t="s">
        <v>252</v>
      </c>
      <c r="E89" s="118"/>
      <c r="F89" s="218"/>
      <c r="G89" s="218"/>
      <c r="H89" s="222">
        <f>J89</f>
        <v>15523.6</v>
      </c>
      <c r="I89" s="222"/>
      <c r="J89" s="222">
        <f>J90</f>
        <v>15523.6</v>
      </c>
      <c r="K89" s="222"/>
      <c r="L89" s="222"/>
      <c r="M89" s="222">
        <f>M90</f>
        <v>2500</v>
      </c>
      <c r="N89" s="222"/>
      <c r="O89" s="222"/>
      <c r="P89" s="222">
        <v>0</v>
      </c>
      <c r="Q89" s="222"/>
      <c r="R89" s="222"/>
      <c r="S89" s="222"/>
      <c r="T89" s="222"/>
      <c r="U89" s="222">
        <v>0</v>
      </c>
      <c r="V89" s="222"/>
      <c r="W89" s="222"/>
      <c r="X89" s="222">
        <v>0</v>
      </c>
      <c r="Y89" s="222">
        <v>0</v>
      </c>
    </row>
    <row r="90" spans="1:25" ht="11.25">
      <c r="A90" s="27"/>
      <c r="B90" s="414" t="s">
        <v>255</v>
      </c>
      <c r="C90" s="350" t="s">
        <v>233</v>
      </c>
      <c r="D90" s="218" t="s">
        <v>252</v>
      </c>
      <c r="E90" s="218" t="s">
        <v>253</v>
      </c>
      <c r="F90" s="218"/>
      <c r="G90" s="218"/>
      <c r="H90" s="118">
        <f>J90</f>
        <v>15523.6</v>
      </c>
      <c r="I90" s="118"/>
      <c r="J90" s="118">
        <f>J91</f>
        <v>15523.6</v>
      </c>
      <c r="K90" s="118"/>
      <c r="L90" s="118"/>
      <c r="M90" s="118">
        <f>M91</f>
        <v>2500</v>
      </c>
      <c r="N90" s="118"/>
      <c r="O90" s="118"/>
      <c r="P90" s="118">
        <v>0</v>
      </c>
      <c r="Q90" s="118"/>
      <c r="R90" s="118"/>
      <c r="S90" s="118"/>
      <c r="T90" s="118"/>
      <c r="U90" s="118">
        <v>0</v>
      </c>
      <c r="V90" s="118"/>
      <c r="W90" s="118"/>
      <c r="X90" s="118"/>
      <c r="Y90" s="118"/>
    </row>
    <row r="91" spans="1:25" ht="11.25">
      <c r="A91" s="27"/>
      <c r="B91" s="414" t="s">
        <v>254</v>
      </c>
      <c r="C91" s="350" t="s">
        <v>233</v>
      </c>
      <c r="D91" s="218" t="s">
        <v>252</v>
      </c>
      <c r="E91" s="218" t="s">
        <v>253</v>
      </c>
      <c r="F91" s="218" t="s">
        <v>250</v>
      </c>
      <c r="G91" s="218"/>
      <c r="H91" s="118">
        <f>I91+J91+K91+L91</f>
        <v>15523.6</v>
      </c>
      <c r="I91" s="118"/>
      <c r="J91" s="118">
        <f>J92</f>
        <v>15523.6</v>
      </c>
      <c r="K91" s="118"/>
      <c r="L91" s="118"/>
      <c r="M91" s="118">
        <f>M92</f>
        <v>2500</v>
      </c>
      <c r="N91" s="118"/>
      <c r="O91" s="118"/>
      <c r="P91" s="118">
        <v>0</v>
      </c>
      <c r="Q91" s="118"/>
      <c r="R91" s="118"/>
      <c r="S91" s="118">
        <f>T91+U91+V91+W91</f>
        <v>0</v>
      </c>
      <c r="T91" s="118"/>
      <c r="U91" s="118">
        <v>0</v>
      </c>
      <c r="V91" s="118"/>
      <c r="W91" s="118"/>
      <c r="X91" s="118"/>
      <c r="Y91" s="118"/>
    </row>
    <row r="92" spans="1:25" ht="22.5">
      <c r="A92" s="27"/>
      <c r="B92" s="216" t="s">
        <v>327</v>
      </c>
      <c r="C92" s="350" t="s">
        <v>233</v>
      </c>
      <c r="D92" s="218" t="s">
        <v>252</v>
      </c>
      <c r="E92" s="218" t="s">
        <v>253</v>
      </c>
      <c r="F92" s="218" t="s">
        <v>250</v>
      </c>
      <c r="G92" s="218" t="s">
        <v>314</v>
      </c>
      <c r="H92" s="118">
        <f>J92</f>
        <v>15523.6</v>
      </c>
      <c r="I92" s="118"/>
      <c r="J92" s="118">
        <f>SUM('5225200'!I82)</f>
        <v>15523.6</v>
      </c>
      <c r="K92" s="118"/>
      <c r="L92" s="118"/>
      <c r="M92" s="118">
        <f>'5225200'!K83</f>
        <v>2500</v>
      </c>
      <c r="N92" s="118"/>
      <c r="O92" s="118"/>
      <c r="P92" s="118">
        <v>0</v>
      </c>
      <c r="Q92" s="118"/>
      <c r="R92" s="118"/>
      <c r="S92" s="118"/>
      <c r="T92" s="118"/>
      <c r="U92" s="118">
        <v>0</v>
      </c>
      <c r="V92" s="118"/>
      <c r="W92" s="118"/>
      <c r="X92" s="118">
        <v>0</v>
      </c>
      <c r="Y92" s="118">
        <v>0</v>
      </c>
    </row>
    <row r="93" spans="1:25" ht="32.25">
      <c r="A93" s="128">
        <v>4</v>
      </c>
      <c r="B93" s="212" t="s">
        <v>246</v>
      </c>
      <c r="C93" s="214" t="s">
        <v>247</v>
      </c>
      <c r="D93" s="229"/>
      <c r="E93" s="230"/>
      <c r="F93" s="229"/>
      <c r="G93" s="229"/>
      <c r="H93" s="214">
        <f aca="true" t="shared" si="35" ref="H93:Q93">SUM(H96)</f>
        <v>234043.8</v>
      </c>
      <c r="I93" s="416"/>
      <c r="J93" s="214">
        <f t="shared" si="35"/>
        <v>231703.4</v>
      </c>
      <c r="K93" s="214">
        <f t="shared" si="35"/>
        <v>2340.4</v>
      </c>
      <c r="L93" s="214"/>
      <c r="M93" s="214">
        <f t="shared" si="35"/>
        <v>11000</v>
      </c>
      <c r="N93" s="214">
        <f t="shared" si="35"/>
        <v>0</v>
      </c>
      <c r="O93" s="416"/>
      <c r="P93" s="214">
        <f t="shared" si="35"/>
        <v>0</v>
      </c>
      <c r="Q93" s="214">
        <f t="shared" si="35"/>
        <v>0</v>
      </c>
      <c r="R93" s="214"/>
      <c r="S93" s="214">
        <f>SUM(S96)</f>
        <v>0</v>
      </c>
      <c r="T93" s="214"/>
      <c r="U93" s="214">
        <f>SUM(U96)</f>
        <v>0</v>
      </c>
      <c r="V93" s="214">
        <f>SUM(V96)</f>
        <v>0</v>
      </c>
      <c r="W93" s="214"/>
      <c r="X93" s="214">
        <f>SUM(P93/M93)*100</f>
        <v>0</v>
      </c>
      <c r="Y93" s="214">
        <v>0</v>
      </c>
    </row>
    <row r="94" spans="1:25" s="423" customFormat="1" ht="11.25">
      <c r="A94" s="424"/>
      <c r="B94" s="425" t="s">
        <v>482</v>
      </c>
      <c r="C94" s="426"/>
      <c r="D94" s="427"/>
      <c r="E94" s="426"/>
      <c r="F94" s="427"/>
      <c r="G94" s="427"/>
      <c r="H94" s="426"/>
      <c r="I94" s="426"/>
      <c r="J94" s="426"/>
      <c r="K94" s="426"/>
      <c r="L94" s="426"/>
      <c r="M94" s="426"/>
      <c r="N94" s="426"/>
      <c r="O94" s="426"/>
      <c r="P94" s="426"/>
      <c r="Q94" s="426"/>
      <c r="R94" s="426"/>
      <c r="S94" s="426">
        <f>U94+V94</f>
        <v>0</v>
      </c>
      <c r="T94" s="426"/>
      <c r="U94" s="426">
        <f>'5225500'!O9</f>
        <v>0</v>
      </c>
      <c r="V94" s="426">
        <f>'5225500'!P9</f>
        <v>0</v>
      </c>
      <c r="W94" s="426"/>
      <c r="X94" s="426"/>
      <c r="Y94" s="426"/>
    </row>
    <row r="95" spans="1:25" s="27" customFormat="1" ht="10.5">
      <c r="A95" s="128"/>
      <c r="B95" s="428" t="s">
        <v>481</v>
      </c>
      <c r="C95" s="410"/>
      <c r="D95" s="419"/>
      <c r="E95" s="410"/>
      <c r="F95" s="419"/>
      <c r="G95" s="419"/>
      <c r="H95" s="410"/>
      <c r="I95" s="410"/>
      <c r="J95" s="429"/>
      <c r="K95" s="410"/>
      <c r="L95" s="410"/>
      <c r="M95" s="410"/>
      <c r="N95" s="410"/>
      <c r="O95" s="410"/>
      <c r="P95" s="410"/>
      <c r="Q95" s="410"/>
      <c r="R95" s="410"/>
      <c r="S95" s="410">
        <f>U95+V95</f>
        <v>678.5</v>
      </c>
      <c r="T95" s="410"/>
      <c r="U95" s="410">
        <f>'5225500'!O10</f>
        <v>658.1</v>
      </c>
      <c r="V95" s="410">
        <f>'5225500'!P10</f>
        <v>20.4</v>
      </c>
      <c r="W95" s="410"/>
      <c r="X95" s="410"/>
      <c r="Y95" s="410"/>
    </row>
    <row r="96" spans="2:25" ht="33.75">
      <c r="B96" s="224" t="s">
        <v>230</v>
      </c>
      <c r="C96" s="216" t="s">
        <v>247</v>
      </c>
      <c r="D96" s="269" t="s">
        <v>231</v>
      </c>
      <c r="E96" s="118"/>
      <c r="F96" s="218"/>
      <c r="G96" s="218"/>
      <c r="H96" s="222">
        <f>H97+H101+H108</f>
        <v>234043.8</v>
      </c>
      <c r="I96" s="222"/>
      <c r="J96" s="222">
        <f>J97+J101+J108</f>
        <v>231703.4</v>
      </c>
      <c r="K96" s="222">
        <f>K97+K101+K108</f>
        <v>2340.4</v>
      </c>
      <c r="L96" s="222"/>
      <c r="M96" s="222">
        <f>M97+M101+M108</f>
        <v>11000</v>
      </c>
      <c r="N96" s="222">
        <f>N97+N101+N108</f>
        <v>0</v>
      </c>
      <c r="O96" s="222"/>
      <c r="P96" s="222">
        <f>P97+P101+P108</f>
        <v>0</v>
      </c>
      <c r="Q96" s="222">
        <f>Q97+Q101+Q108</f>
        <v>0</v>
      </c>
      <c r="R96" s="222"/>
      <c r="S96" s="222">
        <f>S97+S101+S108</f>
        <v>0</v>
      </c>
      <c r="T96" s="222"/>
      <c r="U96" s="222">
        <f>U97+U101+U108</f>
        <v>0</v>
      </c>
      <c r="V96" s="222">
        <f>V97+V101+V108</f>
        <v>0</v>
      </c>
      <c r="W96" s="222"/>
      <c r="X96" s="222">
        <f>SUM(P96/M96)*100</f>
        <v>0</v>
      </c>
      <c r="Y96" s="222">
        <v>0</v>
      </c>
    </row>
    <row r="97" spans="1:25" ht="11.25">
      <c r="A97" s="420"/>
      <c r="B97" s="216" t="s">
        <v>279</v>
      </c>
      <c r="C97" s="350" t="s">
        <v>247</v>
      </c>
      <c r="D97" s="269" t="s">
        <v>231</v>
      </c>
      <c r="E97" s="217" t="s">
        <v>271</v>
      </c>
      <c r="F97" s="421"/>
      <c r="G97" s="421"/>
      <c r="H97" s="118">
        <f>H98</f>
        <v>120393.69999999998</v>
      </c>
      <c r="I97" s="118"/>
      <c r="J97" s="118">
        <f aca="true" t="shared" si="36" ref="J97:K99">J98</f>
        <v>119189.79999999999</v>
      </c>
      <c r="K97" s="118">
        <f t="shared" si="36"/>
        <v>1203.9</v>
      </c>
      <c r="L97" s="118"/>
      <c r="M97" s="118">
        <f aca="true" t="shared" si="37" ref="M97:N99">M98</f>
        <v>0</v>
      </c>
      <c r="N97" s="118">
        <f t="shared" si="37"/>
        <v>0</v>
      </c>
      <c r="O97" s="118"/>
      <c r="P97" s="118">
        <f aca="true" t="shared" si="38" ref="P97:S99">P98</f>
        <v>0</v>
      </c>
      <c r="Q97" s="118">
        <f t="shared" si="38"/>
        <v>0</v>
      </c>
      <c r="R97" s="118"/>
      <c r="S97" s="118">
        <f t="shared" si="38"/>
        <v>0</v>
      </c>
      <c r="T97" s="118"/>
      <c r="U97" s="118">
        <f aca="true" t="shared" si="39" ref="U97:V99">U98</f>
        <v>0</v>
      </c>
      <c r="V97" s="118">
        <f t="shared" si="39"/>
        <v>0</v>
      </c>
      <c r="W97" s="118"/>
      <c r="X97" s="118"/>
      <c r="Y97" s="118"/>
    </row>
    <row r="98" spans="1:25" ht="11.25">
      <c r="A98" s="420"/>
      <c r="B98" s="216" t="s">
        <v>325</v>
      </c>
      <c r="C98" s="350" t="s">
        <v>247</v>
      </c>
      <c r="D98" s="269" t="s">
        <v>231</v>
      </c>
      <c r="E98" s="217" t="s">
        <v>271</v>
      </c>
      <c r="F98" s="217" t="s">
        <v>253</v>
      </c>
      <c r="G98" s="421"/>
      <c r="H98" s="118">
        <f>H99</f>
        <v>120393.69999999998</v>
      </c>
      <c r="I98" s="118"/>
      <c r="J98" s="118">
        <f t="shared" si="36"/>
        <v>119189.79999999999</v>
      </c>
      <c r="K98" s="118">
        <f t="shared" si="36"/>
        <v>1203.9</v>
      </c>
      <c r="L98" s="118"/>
      <c r="M98" s="118">
        <f t="shared" si="37"/>
        <v>0</v>
      </c>
      <c r="N98" s="118">
        <f t="shared" si="37"/>
        <v>0</v>
      </c>
      <c r="O98" s="118"/>
      <c r="P98" s="118">
        <f t="shared" si="38"/>
        <v>0</v>
      </c>
      <c r="Q98" s="118">
        <f t="shared" si="38"/>
        <v>0</v>
      </c>
      <c r="R98" s="118"/>
      <c r="S98" s="118">
        <f t="shared" si="38"/>
        <v>0</v>
      </c>
      <c r="T98" s="118"/>
      <c r="U98" s="118">
        <f t="shared" si="39"/>
        <v>0</v>
      </c>
      <c r="V98" s="118">
        <f t="shared" si="39"/>
        <v>0</v>
      </c>
      <c r="W98" s="118"/>
      <c r="X98" s="118"/>
      <c r="Y98" s="118"/>
    </row>
    <row r="99" spans="1:25" ht="11.25">
      <c r="A99" s="420"/>
      <c r="B99" s="216" t="s">
        <v>240</v>
      </c>
      <c r="C99" s="350" t="s">
        <v>247</v>
      </c>
      <c r="D99" s="269" t="s">
        <v>231</v>
      </c>
      <c r="E99" s="217" t="s">
        <v>271</v>
      </c>
      <c r="F99" s="217" t="s">
        <v>253</v>
      </c>
      <c r="G99" s="217" t="s">
        <v>241</v>
      </c>
      <c r="H99" s="118">
        <f>H100</f>
        <v>120393.69999999998</v>
      </c>
      <c r="I99" s="118"/>
      <c r="J99" s="118">
        <f t="shared" si="36"/>
        <v>119189.79999999999</v>
      </c>
      <c r="K99" s="118">
        <f t="shared" si="36"/>
        <v>1203.9</v>
      </c>
      <c r="L99" s="118"/>
      <c r="M99" s="118">
        <f t="shared" si="37"/>
        <v>0</v>
      </c>
      <c r="N99" s="118">
        <f t="shared" si="37"/>
        <v>0</v>
      </c>
      <c r="O99" s="118"/>
      <c r="P99" s="118">
        <f t="shared" si="38"/>
        <v>0</v>
      </c>
      <c r="Q99" s="118">
        <f t="shared" si="38"/>
        <v>0</v>
      </c>
      <c r="R99" s="118"/>
      <c r="S99" s="118">
        <f t="shared" si="38"/>
        <v>0</v>
      </c>
      <c r="T99" s="118"/>
      <c r="U99" s="118">
        <f t="shared" si="39"/>
        <v>0</v>
      </c>
      <c r="V99" s="118">
        <f t="shared" si="39"/>
        <v>0</v>
      </c>
      <c r="W99" s="118"/>
      <c r="X99" s="118"/>
      <c r="Y99" s="118"/>
    </row>
    <row r="100" spans="1:25" ht="11.25">
      <c r="A100" s="420"/>
      <c r="B100" s="216" t="s">
        <v>245</v>
      </c>
      <c r="C100" s="350" t="s">
        <v>247</v>
      </c>
      <c r="D100" s="269" t="s">
        <v>231</v>
      </c>
      <c r="E100" s="217" t="s">
        <v>271</v>
      </c>
      <c r="F100" s="217" t="s">
        <v>253</v>
      </c>
      <c r="G100" s="217" t="s">
        <v>241</v>
      </c>
      <c r="H100" s="118">
        <f>I100+J100+K100</f>
        <v>120393.69999999998</v>
      </c>
      <c r="I100" s="118"/>
      <c r="J100" s="118">
        <f>'5225500'!H15</f>
        <v>119189.79999999999</v>
      </c>
      <c r="K100" s="118">
        <f>'5225500'!I15</f>
        <v>1203.9</v>
      </c>
      <c r="L100" s="118"/>
      <c r="M100" s="118">
        <f>'5225500'!J15</f>
        <v>0</v>
      </c>
      <c r="N100" s="118">
        <f>O100+P100+Q100</f>
        <v>0</v>
      </c>
      <c r="O100" s="118"/>
      <c r="P100" s="118">
        <f>'5225500'!L15</f>
        <v>0</v>
      </c>
      <c r="Q100" s="118">
        <f>'5225500'!M15</f>
        <v>0</v>
      </c>
      <c r="R100" s="118"/>
      <c r="S100" s="118">
        <f>T100+U100+V100</f>
        <v>0</v>
      </c>
      <c r="T100" s="118"/>
      <c r="U100" s="118">
        <f>'5225500'!O15</f>
        <v>0</v>
      </c>
      <c r="V100" s="118">
        <f>'5225500'!P15</f>
        <v>0</v>
      </c>
      <c r="W100" s="118"/>
      <c r="X100" s="118"/>
      <c r="Y100" s="118"/>
    </row>
    <row r="101" spans="1:25" ht="11.25">
      <c r="A101" s="420"/>
      <c r="B101" s="576" t="s">
        <v>76</v>
      </c>
      <c r="C101" s="350" t="s">
        <v>247</v>
      </c>
      <c r="D101" s="269" t="s">
        <v>231</v>
      </c>
      <c r="E101" s="217" t="s">
        <v>77</v>
      </c>
      <c r="F101" s="217"/>
      <c r="G101" s="577"/>
      <c r="H101" s="118">
        <f>J101+K101</f>
        <v>6432.4</v>
      </c>
      <c r="I101" s="118"/>
      <c r="J101" s="118">
        <f>J102+J105</f>
        <v>6368</v>
      </c>
      <c r="K101" s="118">
        <f>K102+K105</f>
        <v>64.4</v>
      </c>
      <c r="L101" s="118"/>
      <c r="M101" s="118">
        <f>M102+M105</f>
        <v>0</v>
      </c>
      <c r="N101" s="118">
        <f>P101+Q101</f>
        <v>0</v>
      </c>
      <c r="O101" s="118"/>
      <c r="P101" s="118">
        <f>P102+P105</f>
        <v>0</v>
      </c>
      <c r="Q101" s="118">
        <f>Q102+Q105</f>
        <v>0</v>
      </c>
      <c r="R101" s="118"/>
      <c r="S101" s="118">
        <f>U101+V101</f>
        <v>0</v>
      </c>
      <c r="T101" s="118"/>
      <c r="U101" s="118">
        <f>U102+U105</f>
        <v>0</v>
      </c>
      <c r="V101" s="118">
        <f>V102+V105</f>
        <v>0</v>
      </c>
      <c r="W101" s="118"/>
      <c r="X101" s="118"/>
      <c r="Y101" s="118"/>
    </row>
    <row r="102" spans="1:25" ht="11.25">
      <c r="A102" s="420"/>
      <c r="B102" s="576" t="s">
        <v>78</v>
      </c>
      <c r="C102" s="350" t="s">
        <v>247</v>
      </c>
      <c r="D102" s="269" t="s">
        <v>231</v>
      </c>
      <c r="E102" s="217" t="s">
        <v>77</v>
      </c>
      <c r="F102" s="217" t="s">
        <v>250</v>
      </c>
      <c r="G102" s="577"/>
      <c r="H102" s="118">
        <f>H103</f>
        <v>2456.7</v>
      </c>
      <c r="I102" s="118"/>
      <c r="J102" s="118">
        <f>J103</f>
        <v>2432.1</v>
      </c>
      <c r="K102" s="118">
        <f>K103</f>
        <v>24.6</v>
      </c>
      <c r="L102" s="118"/>
      <c r="M102" s="118">
        <f>M103</f>
        <v>0</v>
      </c>
      <c r="N102" s="118">
        <f>N103</f>
        <v>0</v>
      </c>
      <c r="O102" s="118"/>
      <c r="P102" s="118">
        <f>P103</f>
        <v>0</v>
      </c>
      <c r="Q102" s="118">
        <f>Q103</f>
        <v>0</v>
      </c>
      <c r="R102" s="118"/>
      <c r="S102" s="118">
        <f>S103</f>
        <v>0</v>
      </c>
      <c r="T102" s="118"/>
      <c r="U102" s="118">
        <f>U103</f>
        <v>0</v>
      </c>
      <c r="V102" s="118">
        <f>V103</f>
        <v>0</v>
      </c>
      <c r="W102" s="118"/>
      <c r="X102" s="118"/>
      <c r="Y102" s="118"/>
    </row>
    <row r="103" spans="1:25" ht="11.25">
      <c r="A103" s="420"/>
      <c r="B103" s="216" t="s">
        <v>240</v>
      </c>
      <c r="C103" s="350" t="s">
        <v>247</v>
      </c>
      <c r="D103" s="269" t="s">
        <v>231</v>
      </c>
      <c r="E103" s="217" t="s">
        <v>77</v>
      </c>
      <c r="F103" s="217" t="s">
        <v>250</v>
      </c>
      <c r="G103" s="217" t="s">
        <v>241</v>
      </c>
      <c r="H103" s="118">
        <f>H104</f>
        <v>2456.7</v>
      </c>
      <c r="I103" s="118"/>
      <c r="J103" s="118">
        <f aca="true" t="shared" si="40" ref="J103:V103">J104</f>
        <v>2432.1</v>
      </c>
      <c r="K103" s="118">
        <f t="shared" si="40"/>
        <v>24.6</v>
      </c>
      <c r="L103" s="118"/>
      <c r="M103" s="118">
        <f t="shared" si="40"/>
        <v>0</v>
      </c>
      <c r="N103" s="118">
        <f t="shared" si="40"/>
        <v>0</v>
      </c>
      <c r="O103" s="118"/>
      <c r="P103" s="118">
        <f t="shared" si="40"/>
        <v>0</v>
      </c>
      <c r="Q103" s="118">
        <f t="shared" si="40"/>
        <v>0</v>
      </c>
      <c r="R103" s="118"/>
      <c r="S103" s="118">
        <f t="shared" si="40"/>
        <v>0</v>
      </c>
      <c r="T103" s="118"/>
      <c r="U103" s="118">
        <f t="shared" si="40"/>
        <v>0</v>
      </c>
      <c r="V103" s="118">
        <f t="shared" si="40"/>
        <v>0</v>
      </c>
      <c r="W103" s="118"/>
      <c r="X103" s="118"/>
      <c r="Y103" s="118"/>
    </row>
    <row r="104" spans="1:25" ht="11.25">
      <c r="A104" s="420"/>
      <c r="B104" s="216" t="s">
        <v>245</v>
      </c>
      <c r="C104" s="350" t="s">
        <v>247</v>
      </c>
      <c r="D104" s="269" t="s">
        <v>231</v>
      </c>
      <c r="E104" s="217" t="s">
        <v>77</v>
      </c>
      <c r="F104" s="217" t="s">
        <v>250</v>
      </c>
      <c r="G104" s="217" t="s">
        <v>241</v>
      </c>
      <c r="H104" s="118">
        <f>J104+K104</f>
        <v>2456.7</v>
      </c>
      <c r="I104" s="118"/>
      <c r="J104" s="118">
        <f>'5225500'!H31</f>
        <v>2432.1</v>
      </c>
      <c r="K104" s="118">
        <f>'5225500'!I31</f>
        <v>24.6</v>
      </c>
      <c r="L104" s="118"/>
      <c r="M104" s="118">
        <f>'5225500'!J31</f>
        <v>0</v>
      </c>
      <c r="N104" s="118">
        <f>P104+Q104</f>
        <v>0</v>
      </c>
      <c r="O104" s="118"/>
      <c r="P104" s="118">
        <f>'5225500'!L31</f>
        <v>0</v>
      </c>
      <c r="Q104" s="118">
        <f>'5225500'!M31</f>
        <v>0</v>
      </c>
      <c r="R104" s="118"/>
      <c r="S104" s="118">
        <f>U104+V104</f>
        <v>0</v>
      </c>
      <c r="T104" s="118"/>
      <c r="U104" s="118">
        <f>'5225500'!O31</f>
        <v>0</v>
      </c>
      <c r="V104" s="118">
        <f>'5225500'!P31</f>
        <v>0</v>
      </c>
      <c r="W104" s="118"/>
      <c r="X104" s="118"/>
      <c r="Y104" s="118"/>
    </row>
    <row r="105" spans="1:25" ht="11.25">
      <c r="A105" s="420"/>
      <c r="B105" s="576" t="s">
        <v>82</v>
      </c>
      <c r="C105" s="350" t="s">
        <v>247</v>
      </c>
      <c r="D105" s="269" t="s">
        <v>231</v>
      </c>
      <c r="E105" s="217" t="s">
        <v>77</v>
      </c>
      <c r="F105" s="217" t="s">
        <v>256</v>
      </c>
      <c r="G105" s="577"/>
      <c r="H105" s="118">
        <f>H106</f>
        <v>3975.7000000000003</v>
      </c>
      <c r="I105" s="118"/>
      <c r="J105" s="118">
        <f>J106</f>
        <v>3935.9</v>
      </c>
      <c r="K105" s="118">
        <f>K106</f>
        <v>39.8</v>
      </c>
      <c r="L105" s="118"/>
      <c r="M105" s="118">
        <f>M106</f>
        <v>0</v>
      </c>
      <c r="N105" s="118">
        <f>N106</f>
        <v>0</v>
      </c>
      <c r="O105" s="118"/>
      <c r="P105" s="118">
        <f>P106</f>
        <v>0</v>
      </c>
      <c r="Q105" s="118">
        <f>Q106</f>
        <v>0</v>
      </c>
      <c r="R105" s="118"/>
      <c r="S105" s="118">
        <f>S106</f>
        <v>0</v>
      </c>
      <c r="T105" s="118"/>
      <c r="U105" s="118">
        <f>U106</f>
        <v>0</v>
      </c>
      <c r="V105" s="118">
        <f>V106</f>
        <v>0</v>
      </c>
      <c r="W105" s="118"/>
      <c r="X105" s="118"/>
      <c r="Y105" s="118"/>
    </row>
    <row r="106" spans="1:25" ht="11.25">
      <c r="A106" s="420"/>
      <c r="B106" s="216" t="s">
        <v>240</v>
      </c>
      <c r="C106" s="350" t="s">
        <v>247</v>
      </c>
      <c r="D106" s="269" t="s">
        <v>231</v>
      </c>
      <c r="E106" s="217" t="s">
        <v>77</v>
      </c>
      <c r="F106" s="217" t="s">
        <v>256</v>
      </c>
      <c r="G106" s="217" t="s">
        <v>241</v>
      </c>
      <c r="H106" s="118">
        <f>H107</f>
        <v>3975.7000000000003</v>
      </c>
      <c r="I106" s="118"/>
      <c r="J106" s="118">
        <f aca="true" t="shared" si="41" ref="J106:V106">J107</f>
        <v>3935.9</v>
      </c>
      <c r="K106" s="118">
        <f t="shared" si="41"/>
        <v>39.8</v>
      </c>
      <c r="L106" s="118"/>
      <c r="M106" s="118">
        <f t="shared" si="41"/>
        <v>0</v>
      </c>
      <c r="N106" s="118">
        <f t="shared" si="41"/>
        <v>0</v>
      </c>
      <c r="O106" s="118"/>
      <c r="P106" s="118">
        <f t="shared" si="41"/>
        <v>0</v>
      </c>
      <c r="Q106" s="118">
        <f t="shared" si="41"/>
        <v>0</v>
      </c>
      <c r="R106" s="118"/>
      <c r="S106" s="118">
        <f t="shared" si="41"/>
        <v>0</v>
      </c>
      <c r="T106" s="118"/>
      <c r="U106" s="118">
        <f t="shared" si="41"/>
        <v>0</v>
      </c>
      <c r="V106" s="118">
        <f t="shared" si="41"/>
        <v>0</v>
      </c>
      <c r="W106" s="118"/>
      <c r="X106" s="118"/>
      <c r="Y106" s="118"/>
    </row>
    <row r="107" spans="1:25" ht="11.25">
      <c r="A107" s="420"/>
      <c r="B107" s="216" t="s">
        <v>245</v>
      </c>
      <c r="C107" s="350" t="s">
        <v>247</v>
      </c>
      <c r="D107" s="269" t="s">
        <v>231</v>
      </c>
      <c r="E107" s="217" t="s">
        <v>77</v>
      </c>
      <c r="F107" s="217" t="s">
        <v>256</v>
      </c>
      <c r="G107" s="217" t="s">
        <v>241</v>
      </c>
      <c r="H107" s="118">
        <f>J107+K107</f>
        <v>3975.7000000000003</v>
      </c>
      <c r="I107" s="118"/>
      <c r="J107" s="118">
        <f>'5225500'!H36</f>
        <v>3935.9</v>
      </c>
      <c r="K107" s="118">
        <f>'5225500'!I36</f>
        <v>39.8</v>
      </c>
      <c r="L107" s="118"/>
      <c r="M107" s="118">
        <f>'5225500'!J36</f>
        <v>0</v>
      </c>
      <c r="N107" s="118">
        <f>P107+Q107</f>
        <v>0</v>
      </c>
      <c r="O107" s="118"/>
      <c r="P107" s="118">
        <f>'5225500'!L36</f>
        <v>0</v>
      </c>
      <c r="Q107" s="118">
        <f>'5225500'!M36</f>
        <v>0</v>
      </c>
      <c r="R107" s="118"/>
      <c r="S107" s="118">
        <f>U107+V107</f>
        <v>0</v>
      </c>
      <c r="T107" s="118"/>
      <c r="U107" s="118">
        <f>'5225500'!O36</f>
        <v>0</v>
      </c>
      <c r="V107" s="118">
        <f>'5225500'!P36</f>
        <v>0</v>
      </c>
      <c r="W107" s="118"/>
      <c r="X107" s="118"/>
      <c r="Y107" s="118"/>
    </row>
    <row r="108" spans="2:25" ht="33.75">
      <c r="B108" s="216" t="s">
        <v>243</v>
      </c>
      <c r="C108" s="350" t="s">
        <v>247</v>
      </c>
      <c r="D108" s="269" t="s">
        <v>231</v>
      </c>
      <c r="E108" s="351">
        <v>14</v>
      </c>
      <c r="F108" s="217"/>
      <c r="G108" s="217"/>
      <c r="H108" s="118">
        <f aca="true" t="shared" si="42" ref="H108:Q110">H109</f>
        <v>107217.70000000001</v>
      </c>
      <c r="I108" s="118"/>
      <c r="J108" s="118">
        <f t="shared" si="42"/>
        <v>106145.6</v>
      </c>
      <c r="K108" s="118">
        <f t="shared" si="42"/>
        <v>1072.1</v>
      </c>
      <c r="L108" s="118"/>
      <c r="M108" s="118">
        <f t="shared" si="42"/>
        <v>11000</v>
      </c>
      <c r="N108" s="118">
        <f t="shared" si="42"/>
        <v>0</v>
      </c>
      <c r="O108" s="118"/>
      <c r="P108" s="118">
        <f t="shared" si="42"/>
        <v>0</v>
      </c>
      <c r="Q108" s="118">
        <f t="shared" si="42"/>
        <v>0</v>
      </c>
      <c r="R108" s="118"/>
      <c r="S108" s="118">
        <f aca="true" t="shared" si="43" ref="S108:V110">S109</f>
        <v>0</v>
      </c>
      <c r="T108" s="118"/>
      <c r="U108" s="118">
        <f t="shared" si="43"/>
        <v>0</v>
      </c>
      <c r="V108" s="118">
        <f t="shared" si="43"/>
        <v>0</v>
      </c>
      <c r="W108" s="118"/>
      <c r="X108" s="118">
        <f>SUM(P108/M108)*100</f>
        <v>0</v>
      </c>
      <c r="Y108" s="118">
        <v>0</v>
      </c>
    </row>
    <row r="109" spans="2:25" ht="12.75" customHeight="1">
      <c r="B109" s="216" t="s">
        <v>244</v>
      </c>
      <c r="C109" s="350" t="s">
        <v>247</v>
      </c>
      <c r="D109" s="269" t="s">
        <v>231</v>
      </c>
      <c r="E109" s="351">
        <v>14</v>
      </c>
      <c r="F109" s="217" t="s">
        <v>237</v>
      </c>
      <c r="G109" s="217"/>
      <c r="H109" s="118">
        <f t="shared" si="42"/>
        <v>107217.70000000001</v>
      </c>
      <c r="I109" s="118"/>
      <c r="J109" s="118">
        <f t="shared" si="42"/>
        <v>106145.6</v>
      </c>
      <c r="K109" s="118">
        <f t="shared" si="42"/>
        <v>1072.1</v>
      </c>
      <c r="L109" s="118"/>
      <c r="M109" s="118">
        <f t="shared" si="42"/>
        <v>11000</v>
      </c>
      <c r="N109" s="118">
        <f t="shared" si="42"/>
        <v>0</v>
      </c>
      <c r="O109" s="118"/>
      <c r="P109" s="118">
        <f t="shared" si="42"/>
        <v>0</v>
      </c>
      <c r="Q109" s="118">
        <f t="shared" si="42"/>
        <v>0</v>
      </c>
      <c r="R109" s="118"/>
      <c r="S109" s="118">
        <f t="shared" si="43"/>
        <v>0</v>
      </c>
      <c r="T109" s="118"/>
      <c r="U109" s="118">
        <f t="shared" si="43"/>
        <v>0</v>
      </c>
      <c r="V109" s="118">
        <f t="shared" si="43"/>
        <v>0</v>
      </c>
      <c r="W109" s="118"/>
      <c r="X109" s="118"/>
      <c r="Y109" s="118"/>
    </row>
    <row r="110" spans="2:25" ht="11.25">
      <c r="B110" s="216" t="s">
        <v>240</v>
      </c>
      <c r="C110" s="350" t="s">
        <v>247</v>
      </c>
      <c r="D110" s="269" t="s">
        <v>231</v>
      </c>
      <c r="E110" s="351">
        <v>14</v>
      </c>
      <c r="F110" s="217" t="s">
        <v>237</v>
      </c>
      <c r="G110" s="217" t="s">
        <v>241</v>
      </c>
      <c r="H110" s="118">
        <f t="shared" si="42"/>
        <v>107217.70000000001</v>
      </c>
      <c r="I110" s="118"/>
      <c r="J110" s="118">
        <f t="shared" si="42"/>
        <v>106145.6</v>
      </c>
      <c r="K110" s="118">
        <f t="shared" si="42"/>
        <v>1072.1</v>
      </c>
      <c r="L110" s="118"/>
      <c r="M110" s="118">
        <f t="shared" si="42"/>
        <v>11000</v>
      </c>
      <c r="N110" s="118">
        <f t="shared" si="42"/>
        <v>0</v>
      </c>
      <c r="O110" s="118"/>
      <c r="P110" s="118">
        <f t="shared" si="42"/>
        <v>0</v>
      </c>
      <c r="Q110" s="118">
        <f t="shared" si="42"/>
        <v>0</v>
      </c>
      <c r="R110" s="118"/>
      <c r="S110" s="118">
        <f t="shared" si="43"/>
        <v>0</v>
      </c>
      <c r="T110" s="118"/>
      <c r="U110" s="118">
        <f t="shared" si="43"/>
        <v>0</v>
      </c>
      <c r="V110" s="118">
        <f t="shared" si="43"/>
        <v>0</v>
      </c>
      <c r="W110" s="118"/>
      <c r="X110" s="118"/>
      <c r="Y110" s="118"/>
    </row>
    <row r="111" spans="2:25" ht="11.25">
      <c r="B111" s="216" t="s">
        <v>245</v>
      </c>
      <c r="C111" s="350" t="s">
        <v>247</v>
      </c>
      <c r="D111" s="269" t="s">
        <v>231</v>
      </c>
      <c r="E111" s="351">
        <v>14</v>
      </c>
      <c r="F111" s="217" t="s">
        <v>237</v>
      </c>
      <c r="G111" s="217" t="s">
        <v>241</v>
      </c>
      <c r="H111" s="118">
        <f>SUM(J111+K111)</f>
        <v>107217.70000000001</v>
      </c>
      <c r="I111" s="118"/>
      <c r="J111" s="118">
        <f>SUM('5225500'!H41)</f>
        <v>106145.6</v>
      </c>
      <c r="K111" s="118">
        <f>SUM('5225500'!I41)</f>
        <v>1072.1</v>
      </c>
      <c r="L111" s="118"/>
      <c r="M111" s="118">
        <f>SUM('5225500'!J41)</f>
        <v>11000</v>
      </c>
      <c r="N111" s="118">
        <f>SUM(P111+Q111)</f>
        <v>0</v>
      </c>
      <c r="O111" s="118"/>
      <c r="P111" s="118">
        <f>SUM('5225500'!L41)</f>
        <v>0</v>
      </c>
      <c r="Q111" s="118">
        <f>SUM('5225500'!M41)</f>
        <v>0</v>
      </c>
      <c r="R111" s="118"/>
      <c r="S111" s="118">
        <f>SUM(U111+V111)</f>
        <v>0</v>
      </c>
      <c r="T111" s="118"/>
      <c r="U111" s="118">
        <f>SUM('5225500'!O41)</f>
        <v>0</v>
      </c>
      <c r="V111" s="118">
        <f>SUM('5225500'!P41)</f>
        <v>0</v>
      </c>
      <c r="W111" s="118"/>
      <c r="X111" s="118">
        <f>SUM(P111/M111)*100</f>
        <v>0</v>
      </c>
      <c r="Y111" s="118">
        <v>0</v>
      </c>
    </row>
    <row r="112" spans="1:25" ht="33" customHeight="1">
      <c r="A112" s="128">
        <v>6</v>
      </c>
      <c r="B112" s="212" t="s">
        <v>259</v>
      </c>
      <c r="C112" s="431" t="s">
        <v>260</v>
      </c>
      <c r="D112" s="229"/>
      <c r="E112" s="230"/>
      <c r="F112" s="229"/>
      <c r="G112" s="229"/>
      <c r="H112" s="432">
        <f aca="true" t="shared" si="44" ref="H112:V112">H115</f>
        <v>402992.60000000003</v>
      </c>
      <c r="I112" s="432"/>
      <c r="J112" s="432">
        <f t="shared" si="44"/>
        <v>390902.9</v>
      </c>
      <c r="K112" s="432">
        <f t="shared" si="44"/>
        <v>12089.699999999999</v>
      </c>
      <c r="L112" s="432"/>
      <c r="M112" s="432">
        <f t="shared" si="44"/>
        <v>9694.699999999999</v>
      </c>
      <c r="N112" s="432">
        <f t="shared" si="44"/>
        <v>89.9</v>
      </c>
      <c r="O112" s="433"/>
      <c r="P112" s="432">
        <f t="shared" si="44"/>
        <v>87.2</v>
      </c>
      <c r="Q112" s="432">
        <f t="shared" si="44"/>
        <v>2.7</v>
      </c>
      <c r="R112" s="432"/>
      <c r="S112" s="432">
        <f t="shared" si="44"/>
        <v>89.9</v>
      </c>
      <c r="T112" s="432"/>
      <c r="U112" s="432">
        <f t="shared" si="44"/>
        <v>87.2</v>
      </c>
      <c r="V112" s="432">
        <f t="shared" si="44"/>
        <v>2.7</v>
      </c>
      <c r="W112" s="432"/>
      <c r="X112" s="214">
        <f>SUM(P112/M112)*100</f>
        <v>0.8994605299802987</v>
      </c>
      <c r="Y112" s="230">
        <f>(S112/N112)*100</f>
        <v>100</v>
      </c>
    </row>
    <row r="113" spans="1:25" s="430" customFormat="1" ht="12.75" customHeight="1">
      <c r="A113" s="422"/>
      <c r="B113" s="434" t="s">
        <v>482</v>
      </c>
      <c r="C113" s="435"/>
      <c r="D113" s="427"/>
      <c r="E113" s="426"/>
      <c r="F113" s="427"/>
      <c r="G113" s="427"/>
      <c r="H113" s="436"/>
      <c r="I113" s="436"/>
      <c r="J113" s="436"/>
      <c r="K113" s="436"/>
      <c r="L113" s="436"/>
      <c r="M113" s="436"/>
      <c r="N113" s="436"/>
      <c r="O113" s="436"/>
      <c r="P113" s="436"/>
      <c r="Q113" s="436"/>
      <c r="R113" s="436"/>
      <c r="S113" s="436">
        <f>U113+V113</f>
        <v>672.2</v>
      </c>
      <c r="T113" s="436"/>
      <c r="U113" s="436">
        <f>'5225800'!O9</f>
        <v>652</v>
      </c>
      <c r="V113" s="436">
        <f>'5225800'!P9</f>
        <v>20.2</v>
      </c>
      <c r="W113" s="436"/>
      <c r="X113" s="426"/>
      <c r="Y113" s="426"/>
    </row>
    <row r="114" spans="1:25" s="397" customFormat="1" ht="11.25" customHeight="1">
      <c r="A114" s="415"/>
      <c r="B114" s="418" t="s">
        <v>481</v>
      </c>
      <c r="C114" s="437"/>
      <c r="D114" s="419"/>
      <c r="E114" s="410"/>
      <c r="F114" s="419"/>
      <c r="G114" s="419"/>
      <c r="H114" s="438"/>
      <c r="I114" s="438"/>
      <c r="J114" s="438"/>
      <c r="K114" s="438"/>
      <c r="L114" s="438"/>
      <c r="M114" s="438"/>
      <c r="N114" s="438"/>
      <c r="O114" s="438"/>
      <c r="P114" s="438"/>
      <c r="Q114" s="438"/>
      <c r="R114" s="438"/>
      <c r="S114" s="438">
        <f>U114+V114</f>
        <v>19345.5</v>
      </c>
      <c r="T114" s="438"/>
      <c r="U114" s="438">
        <f>'5225800'!O10</f>
        <v>18765.1</v>
      </c>
      <c r="V114" s="438">
        <f>'5225800'!P10</f>
        <v>580.4</v>
      </c>
      <c r="W114" s="438"/>
      <c r="X114" s="410"/>
      <c r="Y114" s="410"/>
    </row>
    <row r="115" spans="2:25" ht="33.75">
      <c r="B115" s="224" t="s">
        <v>230</v>
      </c>
      <c r="C115" s="350" t="s">
        <v>260</v>
      </c>
      <c r="D115" s="269" t="s">
        <v>231</v>
      </c>
      <c r="E115" s="269"/>
      <c r="F115" s="217"/>
      <c r="G115" s="217"/>
      <c r="H115" s="439">
        <f aca="true" t="shared" si="45" ref="H115:Q117">H116</f>
        <v>402992.60000000003</v>
      </c>
      <c r="I115" s="439"/>
      <c r="J115" s="439">
        <f t="shared" si="45"/>
        <v>390902.9</v>
      </c>
      <c r="K115" s="439">
        <f t="shared" si="45"/>
        <v>12089.699999999999</v>
      </c>
      <c r="L115" s="439"/>
      <c r="M115" s="439">
        <f t="shared" si="45"/>
        <v>9694.699999999999</v>
      </c>
      <c r="N115" s="439">
        <f t="shared" si="45"/>
        <v>89.9</v>
      </c>
      <c r="O115" s="439"/>
      <c r="P115" s="439">
        <f t="shared" si="45"/>
        <v>87.2</v>
      </c>
      <c r="Q115" s="439">
        <f t="shared" si="45"/>
        <v>2.7</v>
      </c>
      <c r="R115" s="439"/>
      <c r="S115" s="439">
        <f aca="true" t="shared" si="46" ref="S115:V117">S116</f>
        <v>89.9</v>
      </c>
      <c r="T115" s="439"/>
      <c r="U115" s="439">
        <f t="shared" si="46"/>
        <v>87.2</v>
      </c>
      <c r="V115" s="439">
        <f t="shared" si="46"/>
        <v>2.7</v>
      </c>
      <c r="W115" s="439"/>
      <c r="X115" s="118">
        <f aca="true" t="shared" si="47" ref="X115:X121">SUM(P115/M115)*100</f>
        <v>0.8994605299802987</v>
      </c>
      <c r="Y115" s="118">
        <f aca="true" t="shared" si="48" ref="Y115:Y121">(S115/N115)*100</f>
        <v>100</v>
      </c>
    </row>
    <row r="116" spans="2:25" ht="11.25">
      <c r="B116" s="118" t="s">
        <v>264</v>
      </c>
      <c r="C116" s="350" t="s">
        <v>260</v>
      </c>
      <c r="D116" s="269" t="s">
        <v>231</v>
      </c>
      <c r="E116" s="217" t="s">
        <v>263</v>
      </c>
      <c r="F116" s="217"/>
      <c r="G116" s="217"/>
      <c r="H116" s="439">
        <f t="shared" si="45"/>
        <v>402992.60000000003</v>
      </c>
      <c r="I116" s="439"/>
      <c r="J116" s="439">
        <f t="shared" si="45"/>
        <v>390902.9</v>
      </c>
      <c r="K116" s="439">
        <f t="shared" si="45"/>
        <v>12089.699999999999</v>
      </c>
      <c r="L116" s="439"/>
      <c r="M116" s="439">
        <f t="shared" si="45"/>
        <v>9694.699999999999</v>
      </c>
      <c r="N116" s="439">
        <f t="shared" si="45"/>
        <v>89.9</v>
      </c>
      <c r="O116" s="439"/>
      <c r="P116" s="439">
        <f t="shared" si="45"/>
        <v>87.2</v>
      </c>
      <c r="Q116" s="439">
        <f t="shared" si="45"/>
        <v>2.7</v>
      </c>
      <c r="R116" s="439"/>
      <c r="S116" s="439">
        <f t="shared" si="46"/>
        <v>89.9</v>
      </c>
      <c r="T116" s="439"/>
      <c r="U116" s="439">
        <f t="shared" si="46"/>
        <v>87.2</v>
      </c>
      <c r="V116" s="439">
        <f t="shared" si="46"/>
        <v>2.7</v>
      </c>
      <c r="W116" s="439"/>
      <c r="X116" s="118">
        <f t="shared" si="47"/>
        <v>0.8994605299802987</v>
      </c>
      <c r="Y116" s="118">
        <f t="shared" si="48"/>
        <v>100</v>
      </c>
    </row>
    <row r="117" spans="2:25" ht="11.25">
      <c r="B117" s="118" t="s">
        <v>265</v>
      </c>
      <c r="C117" s="350" t="s">
        <v>260</v>
      </c>
      <c r="D117" s="269" t="s">
        <v>231</v>
      </c>
      <c r="E117" s="217" t="s">
        <v>263</v>
      </c>
      <c r="F117" s="217" t="s">
        <v>256</v>
      </c>
      <c r="G117" s="217"/>
      <c r="H117" s="439">
        <f t="shared" si="45"/>
        <v>402992.60000000003</v>
      </c>
      <c r="I117" s="439"/>
      <c r="J117" s="439">
        <f t="shared" si="45"/>
        <v>390902.9</v>
      </c>
      <c r="K117" s="439">
        <f t="shared" si="45"/>
        <v>12089.699999999999</v>
      </c>
      <c r="L117" s="439"/>
      <c r="M117" s="439">
        <f t="shared" si="45"/>
        <v>9694.699999999999</v>
      </c>
      <c r="N117" s="439">
        <f t="shared" si="45"/>
        <v>89.9</v>
      </c>
      <c r="O117" s="439"/>
      <c r="P117" s="439">
        <f t="shared" si="45"/>
        <v>87.2</v>
      </c>
      <c r="Q117" s="439">
        <f t="shared" si="45"/>
        <v>2.7</v>
      </c>
      <c r="R117" s="439"/>
      <c r="S117" s="439">
        <f t="shared" si="46"/>
        <v>89.9</v>
      </c>
      <c r="T117" s="439"/>
      <c r="U117" s="439">
        <f t="shared" si="46"/>
        <v>87.2</v>
      </c>
      <c r="V117" s="439">
        <f t="shared" si="46"/>
        <v>2.7</v>
      </c>
      <c r="W117" s="439"/>
      <c r="X117" s="118">
        <f t="shared" si="47"/>
        <v>0.8994605299802987</v>
      </c>
      <c r="Y117" s="118">
        <f t="shared" si="48"/>
        <v>100</v>
      </c>
    </row>
    <row r="118" spans="2:25" ht="11.25">
      <c r="B118" s="216" t="s">
        <v>240</v>
      </c>
      <c r="C118" s="350" t="s">
        <v>260</v>
      </c>
      <c r="D118" s="269" t="s">
        <v>231</v>
      </c>
      <c r="E118" s="217" t="s">
        <v>263</v>
      </c>
      <c r="F118" s="217" t="s">
        <v>256</v>
      </c>
      <c r="G118" s="217" t="s">
        <v>241</v>
      </c>
      <c r="H118" s="118">
        <f aca="true" t="shared" si="49" ref="H118:Q118">SUM(H119+H120)</f>
        <v>402992.60000000003</v>
      </c>
      <c r="I118" s="118"/>
      <c r="J118" s="118">
        <f t="shared" si="49"/>
        <v>390902.9</v>
      </c>
      <c r="K118" s="118">
        <f t="shared" si="49"/>
        <v>12089.699999999999</v>
      </c>
      <c r="L118" s="118"/>
      <c r="M118" s="118">
        <f t="shared" si="49"/>
        <v>9694.699999999999</v>
      </c>
      <c r="N118" s="118">
        <f t="shared" si="49"/>
        <v>89.9</v>
      </c>
      <c r="O118" s="118"/>
      <c r="P118" s="118">
        <f t="shared" si="49"/>
        <v>87.2</v>
      </c>
      <c r="Q118" s="118">
        <f t="shared" si="49"/>
        <v>2.7</v>
      </c>
      <c r="R118" s="118"/>
      <c r="S118" s="118">
        <f>SUM(S119+S120)</f>
        <v>89.9</v>
      </c>
      <c r="T118" s="118"/>
      <c r="U118" s="118">
        <f>SUM(U119+U120)</f>
        <v>87.2</v>
      </c>
      <c r="V118" s="118">
        <f>SUM(V119+V120)</f>
        <v>2.7</v>
      </c>
      <c r="W118" s="118"/>
      <c r="X118" s="118">
        <f t="shared" si="47"/>
        <v>0.8994605299802987</v>
      </c>
      <c r="Y118" s="118">
        <f t="shared" si="48"/>
        <v>100</v>
      </c>
    </row>
    <row r="119" spans="2:25" ht="11.25">
      <c r="B119" s="216" t="s">
        <v>245</v>
      </c>
      <c r="C119" s="350" t="s">
        <v>260</v>
      </c>
      <c r="D119" s="269" t="s">
        <v>231</v>
      </c>
      <c r="E119" s="217" t="s">
        <v>263</v>
      </c>
      <c r="F119" s="217" t="s">
        <v>256</v>
      </c>
      <c r="G119" s="217" t="s">
        <v>241</v>
      </c>
      <c r="H119" s="118">
        <f>SUM(J119+K119)</f>
        <v>297892.9</v>
      </c>
      <c r="I119" s="118"/>
      <c r="J119" s="118">
        <f>'5225800'!H15</f>
        <v>288956.2</v>
      </c>
      <c r="K119" s="118">
        <f>'5225800'!I15</f>
        <v>8936.699999999999</v>
      </c>
      <c r="L119" s="118"/>
      <c r="M119" s="118">
        <f>'5225800'!J15</f>
        <v>9694.699999999999</v>
      </c>
      <c r="N119" s="118">
        <f>SUM(P119+Q119)</f>
        <v>89.9</v>
      </c>
      <c r="O119" s="118"/>
      <c r="P119" s="118">
        <f>'5225800'!L15</f>
        <v>87.2</v>
      </c>
      <c r="Q119" s="118">
        <f>'5225800'!M15</f>
        <v>2.7</v>
      </c>
      <c r="R119" s="118"/>
      <c r="S119" s="118">
        <f>SUM(U119+V119)</f>
        <v>89.9</v>
      </c>
      <c r="T119" s="118"/>
      <c r="U119" s="118">
        <f>'5225800'!O15</f>
        <v>87.2</v>
      </c>
      <c r="V119" s="118">
        <f>'5225800'!P15</f>
        <v>2.7</v>
      </c>
      <c r="W119" s="118"/>
      <c r="X119" s="118">
        <f t="shared" si="47"/>
        <v>0.8994605299802987</v>
      </c>
      <c r="Y119" s="118">
        <f t="shared" si="48"/>
        <v>100</v>
      </c>
    </row>
    <row r="120" spans="2:25" ht="11.25">
      <c r="B120" s="216" t="s">
        <v>242</v>
      </c>
      <c r="C120" s="350" t="s">
        <v>260</v>
      </c>
      <c r="D120" s="269" t="s">
        <v>231</v>
      </c>
      <c r="E120" s="217" t="s">
        <v>263</v>
      </c>
      <c r="F120" s="217" t="s">
        <v>256</v>
      </c>
      <c r="G120" s="217" t="s">
        <v>241</v>
      </c>
      <c r="H120" s="118">
        <f>SUM(J120+K120)</f>
        <v>105099.7</v>
      </c>
      <c r="I120" s="118"/>
      <c r="J120" s="118">
        <f>SUM('5225800'!H31)</f>
        <v>101946.7</v>
      </c>
      <c r="K120" s="118">
        <f>SUM('5225800'!I31)</f>
        <v>3153</v>
      </c>
      <c r="L120" s="118"/>
      <c r="M120" s="118">
        <f>SUM('5225800'!J31)</f>
        <v>0</v>
      </c>
      <c r="N120" s="118">
        <f>SUM(P120+Q120)</f>
        <v>0</v>
      </c>
      <c r="O120" s="118"/>
      <c r="P120" s="118">
        <f>SUM('5225800'!L31)</f>
        <v>0</v>
      </c>
      <c r="Q120" s="118">
        <f>SUM('5225800'!M31)</f>
        <v>0</v>
      </c>
      <c r="R120" s="118"/>
      <c r="S120" s="118">
        <f>SUM(U120+V120)</f>
        <v>0</v>
      </c>
      <c r="T120" s="118"/>
      <c r="U120" s="118">
        <f>'5225800'!O31</f>
        <v>0</v>
      </c>
      <c r="V120" s="118">
        <f>SUM('5225800'!P31)</f>
        <v>0</v>
      </c>
      <c r="W120" s="118"/>
      <c r="X120" s="118"/>
      <c r="Y120" s="118"/>
    </row>
    <row r="121" spans="1:25" ht="54.75" customHeight="1">
      <c r="A121" s="128">
        <v>7</v>
      </c>
      <c r="B121" s="212" t="s">
        <v>296</v>
      </c>
      <c r="C121" s="214" t="s">
        <v>262</v>
      </c>
      <c r="D121" s="229"/>
      <c r="E121" s="230"/>
      <c r="F121" s="229"/>
      <c r="G121" s="229"/>
      <c r="H121" s="214">
        <f>J121+K121</f>
        <v>214047.4</v>
      </c>
      <c r="I121" s="416"/>
      <c r="J121" s="214">
        <f>SUM(J123+J133+J137)</f>
        <v>208832.9</v>
      </c>
      <c r="K121" s="214">
        <f>SUM(K123+K133)</f>
        <v>5214.500000000001</v>
      </c>
      <c r="L121" s="214"/>
      <c r="M121" s="214">
        <f>SUM(M123+M133+M137)</f>
        <v>55511.5</v>
      </c>
      <c r="N121" s="214">
        <f aca="true" t="shared" si="50" ref="N121:N128">P121+Q121</f>
        <v>23763.300000000003</v>
      </c>
      <c r="O121" s="416"/>
      <c r="P121" s="214">
        <f>SUM(P123+P133)</f>
        <v>23699.4</v>
      </c>
      <c r="Q121" s="214">
        <f>SUM(Q123+Q133)</f>
        <v>63.9</v>
      </c>
      <c r="R121" s="214"/>
      <c r="S121" s="214">
        <f>SUM(S123)</f>
        <v>23763.300000000003</v>
      </c>
      <c r="T121" s="214"/>
      <c r="U121" s="214">
        <f>SUM(U123)</f>
        <v>23699.4</v>
      </c>
      <c r="V121" s="214">
        <f>SUM(V123+V133)</f>
        <v>63.9</v>
      </c>
      <c r="W121" s="214"/>
      <c r="X121" s="214">
        <f t="shared" si="47"/>
        <v>42.6927753708691</v>
      </c>
      <c r="Y121" s="230">
        <f t="shared" si="48"/>
        <v>100</v>
      </c>
    </row>
    <row r="122" spans="1:25" s="397" customFormat="1" ht="14.25" customHeight="1">
      <c r="A122" s="415"/>
      <c r="B122" s="418" t="s">
        <v>481</v>
      </c>
      <c r="C122" s="410"/>
      <c r="D122" s="419"/>
      <c r="E122" s="410"/>
      <c r="F122" s="419"/>
      <c r="G122" s="419"/>
      <c r="H122" s="410"/>
      <c r="I122" s="410"/>
      <c r="J122" s="410"/>
      <c r="K122" s="410"/>
      <c r="L122" s="410"/>
      <c r="M122" s="429"/>
      <c r="N122" s="410"/>
      <c r="O122" s="410"/>
      <c r="P122" s="410"/>
      <c r="Q122" s="410"/>
      <c r="R122" s="410"/>
      <c r="S122" s="410"/>
      <c r="T122" s="410">
        <f>U122+V122</f>
        <v>26945.9</v>
      </c>
      <c r="U122" s="410">
        <f>'5225900'!O10</f>
        <v>26137.5</v>
      </c>
      <c r="V122" s="410">
        <f>'5225900'!P10</f>
        <v>808.4</v>
      </c>
      <c r="W122" s="410"/>
      <c r="X122" s="410"/>
      <c r="Y122" s="410"/>
    </row>
    <row r="123" spans="2:25" ht="33.75">
      <c r="B123" s="224" t="s">
        <v>230</v>
      </c>
      <c r="C123" s="118" t="s">
        <v>262</v>
      </c>
      <c r="D123" s="269" t="s">
        <v>231</v>
      </c>
      <c r="E123" s="118"/>
      <c r="F123" s="218"/>
      <c r="G123" s="218"/>
      <c r="H123" s="222">
        <f>J123+K123</f>
        <v>211753.69999999998</v>
      </c>
      <c r="I123" s="222"/>
      <c r="J123" s="222">
        <f>SUM(J124)</f>
        <v>206539.19999999998</v>
      </c>
      <c r="K123" s="222">
        <f>SUM(K124)</f>
        <v>5214.500000000001</v>
      </c>
      <c r="L123" s="222"/>
      <c r="M123" s="222">
        <f>SUM(M124)</f>
        <v>55334.5</v>
      </c>
      <c r="N123" s="222">
        <f>P123+Q123</f>
        <v>23763.300000000003</v>
      </c>
      <c r="O123" s="222"/>
      <c r="P123" s="222">
        <f>SUM(P124)</f>
        <v>23699.4</v>
      </c>
      <c r="Q123" s="222">
        <f>SUM(Q124)</f>
        <v>63.9</v>
      </c>
      <c r="R123" s="222"/>
      <c r="S123" s="222">
        <f>U123+V123</f>
        <v>23763.300000000003</v>
      </c>
      <c r="T123" s="222"/>
      <c r="U123" s="222">
        <f>SUM(U124)</f>
        <v>23699.4</v>
      </c>
      <c r="V123" s="222">
        <f>SUM(V124)</f>
        <v>63.9</v>
      </c>
      <c r="W123" s="222"/>
      <c r="X123" s="118">
        <f aca="true" t="shared" si="51" ref="X123:X129">SUM(P123/M123)*100</f>
        <v>42.82933793564594</v>
      </c>
      <c r="Y123" s="118">
        <f>(S123/N123)*100</f>
        <v>100</v>
      </c>
    </row>
    <row r="124" spans="2:25" ht="11.25">
      <c r="B124" s="118" t="s">
        <v>264</v>
      </c>
      <c r="C124" s="118" t="s">
        <v>262</v>
      </c>
      <c r="D124" s="269" t="s">
        <v>231</v>
      </c>
      <c r="E124" s="217" t="s">
        <v>263</v>
      </c>
      <c r="F124" s="218"/>
      <c r="G124" s="218"/>
      <c r="H124" s="118">
        <f>SUM(H125)</f>
        <v>211753.69999999998</v>
      </c>
      <c r="I124" s="118"/>
      <c r="J124" s="118">
        <f>SUM(J125)</f>
        <v>206539.19999999998</v>
      </c>
      <c r="K124" s="118">
        <f>SUM(K125)</f>
        <v>5214.500000000001</v>
      </c>
      <c r="L124" s="118"/>
      <c r="M124" s="118">
        <f>SUM(M125)</f>
        <v>55334.5</v>
      </c>
      <c r="N124" s="118">
        <f t="shared" si="50"/>
        <v>23763.300000000003</v>
      </c>
      <c r="O124" s="118"/>
      <c r="P124" s="118">
        <f>SUM(P125)</f>
        <v>23699.4</v>
      </c>
      <c r="Q124" s="118">
        <f>Q125</f>
        <v>63.9</v>
      </c>
      <c r="R124" s="118"/>
      <c r="S124" s="118">
        <f>U124+V124</f>
        <v>23763.300000000003</v>
      </c>
      <c r="T124" s="118"/>
      <c r="U124" s="118">
        <f>SUM(U125)</f>
        <v>23699.4</v>
      </c>
      <c r="V124" s="118">
        <f>SUM(V125)</f>
        <v>63.9</v>
      </c>
      <c r="W124" s="118"/>
      <c r="X124" s="118">
        <f t="shared" si="51"/>
        <v>42.82933793564594</v>
      </c>
      <c r="Y124" s="118">
        <f>(S124/N124)*100</f>
        <v>100</v>
      </c>
    </row>
    <row r="125" spans="2:25" ht="11.25">
      <c r="B125" s="118" t="s">
        <v>265</v>
      </c>
      <c r="C125" s="118" t="s">
        <v>262</v>
      </c>
      <c r="D125" s="269" t="s">
        <v>231</v>
      </c>
      <c r="E125" s="217" t="s">
        <v>263</v>
      </c>
      <c r="F125" s="217" t="s">
        <v>256</v>
      </c>
      <c r="G125" s="218"/>
      <c r="H125" s="118">
        <f>SUM(H126+H129)</f>
        <v>211753.69999999998</v>
      </c>
      <c r="I125" s="118"/>
      <c r="J125" s="118">
        <f>SUM(J126+J129)</f>
        <v>206539.19999999998</v>
      </c>
      <c r="K125" s="118">
        <f>SUM(K126+K129)</f>
        <v>5214.500000000001</v>
      </c>
      <c r="L125" s="118"/>
      <c r="M125" s="118">
        <f>SUM(M126+M129)</f>
        <v>55334.5</v>
      </c>
      <c r="N125" s="118">
        <f t="shared" si="50"/>
        <v>23763.300000000003</v>
      </c>
      <c r="O125" s="118"/>
      <c r="P125" s="118">
        <f>SUM(P126+P129)</f>
        <v>23699.4</v>
      </c>
      <c r="Q125" s="118">
        <f>SUM(Q126+Q129)</f>
        <v>63.9</v>
      </c>
      <c r="R125" s="118"/>
      <c r="S125" s="118">
        <f>U125+V125</f>
        <v>23763.300000000003</v>
      </c>
      <c r="T125" s="118"/>
      <c r="U125" s="118">
        <f>SUM(U126+U129)</f>
        <v>23699.4</v>
      </c>
      <c r="V125" s="118">
        <f>SUM(V126+V129)</f>
        <v>63.9</v>
      </c>
      <c r="W125" s="118"/>
      <c r="X125" s="118">
        <f t="shared" si="51"/>
        <v>42.82933793564594</v>
      </c>
      <c r="Y125" s="118">
        <f>(S125/N125)*100</f>
        <v>100</v>
      </c>
    </row>
    <row r="126" spans="2:26" ht="11.25">
      <c r="B126" s="472" t="s">
        <v>257</v>
      </c>
      <c r="C126" s="118" t="s">
        <v>262</v>
      </c>
      <c r="D126" s="269" t="s">
        <v>231</v>
      </c>
      <c r="E126" s="217" t="s">
        <v>263</v>
      </c>
      <c r="F126" s="217" t="s">
        <v>256</v>
      </c>
      <c r="G126" s="217" t="s">
        <v>258</v>
      </c>
      <c r="H126" s="118">
        <f aca="true" t="shared" si="52" ref="H126:Q126">SUM(H127+H128)</f>
        <v>39318.9</v>
      </c>
      <c r="I126" s="118"/>
      <c r="J126" s="118">
        <f t="shared" si="52"/>
        <v>39318.9</v>
      </c>
      <c r="K126" s="118">
        <f t="shared" si="52"/>
        <v>0</v>
      </c>
      <c r="L126" s="118"/>
      <c r="M126" s="118">
        <f t="shared" si="52"/>
        <v>30389</v>
      </c>
      <c r="N126" s="118">
        <f t="shared" si="50"/>
        <v>21635.5</v>
      </c>
      <c r="O126" s="118"/>
      <c r="P126" s="219">
        <f>SUM(P127+P128)</f>
        <v>21635.5</v>
      </c>
      <c r="Q126" s="118">
        <f t="shared" si="52"/>
        <v>0</v>
      </c>
      <c r="R126" s="118"/>
      <c r="S126" s="118">
        <f>SUM(S127+S128)</f>
        <v>21635.5</v>
      </c>
      <c r="T126" s="118"/>
      <c r="U126" s="118">
        <f>SUM(U127+U128)</f>
        <v>21635.5</v>
      </c>
      <c r="V126" s="118">
        <f>SUM(V127+V128)</f>
        <v>0</v>
      </c>
      <c r="W126" s="118"/>
      <c r="X126" s="118">
        <f t="shared" si="51"/>
        <v>71.19516930468262</v>
      </c>
      <c r="Y126" s="118">
        <f>(S126/N126)*100</f>
        <v>100</v>
      </c>
      <c r="Z126" s="164"/>
    </row>
    <row r="127" spans="2:25" ht="21.75" customHeight="1">
      <c r="B127" s="216" t="s">
        <v>230</v>
      </c>
      <c r="C127" s="118" t="s">
        <v>262</v>
      </c>
      <c r="D127" s="269" t="s">
        <v>231</v>
      </c>
      <c r="E127" s="217" t="s">
        <v>263</v>
      </c>
      <c r="F127" s="217" t="s">
        <v>256</v>
      </c>
      <c r="G127" s="217" t="s">
        <v>258</v>
      </c>
      <c r="H127" s="118">
        <f>'5225900'!G16</f>
        <v>28895</v>
      </c>
      <c r="I127" s="118"/>
      <c r="J127" s="118">
        <f>'5225900'!H16</f>
        <v>28895</v>
      </c>
      <c r="K127" s="118">
        <f>'5225900'!I16</f>
        <v>0</v>
      </c>
      <c r="L127" s="118"/>
      <c r="M127" s="118">
        <f>'5225900'!J16</f>
        <v>28895</v>
      </c>
      <c r="N127" s="118">
        <f t="shared" si="50"/>
        <v>20141.5</v>
      </c>
      <c r="O127" s="118"/>
      <c r="P127" s="118">
        <f>'5225900'!L16</f>
        <v>20141.5</v>
      </c>
      <c r="Q127" s="118">
        <f>'5225900'!M16</f>
        <v>0</v>
      </c>
      <c r="R127" s="118"/>
      <c r="S127" s="118">
        <f>U127+V127</f>
        <v>20141.5</v>
      </c>
      <c r="T127" s="118"/>
      <c r="U127" s="118">
        <f>'5225900'!O16</f>
        <v>20141.5</v>
      </c>
      <c r="V127" s="118">
        <f>'5225900'!P16</f>
        <v>0</v>
      </c>
      <c r="W127" s="118"/>
      <c r="X127" s="118">
        <f t="shared" si="51"/>
        <v>69.70583145872989</v>
      </c>
      <c r="Y127" s="118">
        <f>(S127/N127)*100</f>
        <v>100</v>
      </c>
    </row>
    <row r="128" spans="2:25" ht="22.5">
      <c r="B128" s="216" t="s">
        <v>329</v>
      </c>
      <c r="C128" s="118" t="s">
        <v>262</v>
      </c>
      <c r="D128" s="269" t="s">
        <v>231</v>
      </c>
      <c r="E128" s="217" t="s">
        <v>263</v>
      </c>
      <c r="F128" s="217" t="s">
        <v>256</v>
      </c>
      <c r="G128" s="217" t="s">
        <v>258</v>
      </c>
      <c r="H128" s="118">
        <f>'5225900'!G19</f>
        <v>10423.9</v>
      </c>
      <c r="I128" s="118"/>
      <c r="J128" s="118">
        <f>'5225900'!H19</f>
        <v>10423.9</v>
      </c>
      <c r="K128" s="118">
        <f>'5225900'!I19</f>
        <v>0</v>
      </c>
      <c r="L128" s="118"/>
      <c r="M128" s="118">
        <f>'5225900'!J19</f>
        <v>1494</v>
      </c>
      <c r="N128" s="118">
        <f t="shared" si="50"/>
        <v>1494</v>
      </c>
      <c r="O128" s="118"/>
      <c r="P128" s="118">
        <f>'5225900'!L19</f>
        <v>1494</v>
      </c>
      <c r="Q128" s="118">
        <f>'5225900'!M19</f>
        <v>0</v>
      </c>
      <c r="R128" s="118"/>
      <c r="S128" s="118">
        <f>U128</f>
        <v>1494</v>
      </c>
      <c r="T128" s="118"/>
      <c r="U128" s="118">
        <f>'5225900'!O19</f>
        <v>1494</v>
      </c>
      <c r="V128" s="118">
        <f>'5225900'!P19</f>
        <v>0</v>
      </c>
      <c r="W128" s="118"/>
      <c r="X128" s="118">
        <f t="shared" si="51"/>
        <v>100</v>
      </c>
      <c r="Y128" s="118">
        <f>U128/P128*100</f>
        <v>100</v>
      </c>
    </row>
    <row r="129" spans="2:25" ht="11.25">
      <c r="B129" s="216" t="s">
        <v>299</v>
      </c>
      <c r="C129" s="118" t="s">
        <v>262</v>
      </c>
      <c r="D129" s="269" t="s">
        <v>231</v>
      </c>
      <c r="E129" s="217" t="s">
        <v>263</v>
      </c>
      <c r="F129" s="217" t="s">
        <v>256</v>
      </c>
      <c r="G129" s="217" t="s">
        <v>241</v>
      </c>
      <c r="H129" s="118">
        <f>SUM(J129+K129)</f>
        <v>172434.8</v>
      </c>
      <c r="I129" s="118"/>
      <c r="J129" s="118">
        <f>SUM(J130+J131+J132)</f>
        <v>167220.3</v>
      </c>
      <c r="K129" s="118">
        <f>SUM(K130+K131+K132)</f>
        <v>5214.500000000001</v>
      </c>
      <c r="L129" s="118"/>
      <c r="M129" s="118">
        <f>SUM(M130+M131+M132)</f>
        <v>24945.5</v>
      </c>
      <c r="N129" s="118">
        <f>SUM(P129+Q129)</f>
        <v>2127.8</v>
      </c>
      <c r="O129" s="118"/>
      <c r="P129" s="118">
        <f>SUM(P130+P131+P132)</f>
        <v>2063.9</v>
      </c>
      <c r="Q129" s="118">
        <f>SUM(Q130+Q131+Q132)</f>
        <v>63.9</v>
      </c>
      <c r="R129" s="118"/>
      <c r="S129" s="118">
        <f>SUM(U129+V129)</f>
        <v>2127.8</v>
      </c>
      <c r="T129" s="118"/>
      <c r="U129" s="118">
        <f>SUM(U130+U131+U132)</f>
        <v>2063.9</v>
      </c>
      <c r="V129" s="118">
        <f>SUM(V130+V131+V132)</f>
        <v>63.9</v>
      </c>
      <c r="W129" s="118"/>
      <c r="X129" s="118">
        <f t="shared" si="51"/>
        <v>8.273636527630234</v>
      </c>
      <c r="Y129" s="118">
        <f>(S129/N129)*100</f>
        <v>100</v>
      </c>
    </row>
    <row r="130" spans="2:25" ht="11.25">
      <c r="B130" s="216" t="s">
        <v>245</v>
      </c>
      <c r="C130" s="118" t="s">
        <v>262</v>
      </c>
      <c r="D130" s="269" t="s">
        <v>231</v>
      </c>
      <c r="E130" s="217" t="s">
        <v>263</v>
      </c>
      <c r="F130" s="217" t="s">
        <v>256</v>
      </c>
      <c r="G130" s="217" t="s">
        <v>241</v>
      </c>
      <c r="H130" s="118">
        <f>SUM(J130+K130)</f>
        <v>35574.799999999996</v>
      </c>
      <c r="I130" s="118"/>
      <c r="J130" s="118">
        <f>SUM('5225900'!H23)</f>
        <v>34466.1</v>
      </c>
      <c r="K130" s="118">
        <f>SUM('5225900'!I23)</f>
        <v>1108.7</v>
      </c>
      <c r="L130" s="118"/>
      <c r="M130" s="118">
        <f>SUM('5225900'!J23)</f>
        <v>0</v>
      </c>
      <c r="N130" s="118">
        <f>SUM(P130+Q130)</f>
        <v>0</v>
      </c>
      <c r="O130" s="118"/>
      <c r="P130" s="118">
        <f>SUM('5225900'!L23)</f>
        <v>0</v>
      </c>
      <c r="Q130" s="118">
        <f>SUM('5225900'!M23)</f>
        <v>0</v>
      </c>
      <c r="R130" s="118"/>
      <c r="S130" s="118">
        <f>SUM(U130+V130)</f>
        <v>0</v>
      </c>
      <c r="T130" s="118"/>
      <c r="U130" s="118">
        <f>SUM('5225900'!O23)</f>
        <v>0</v>
      </c>
      <c r="V130" s="118">
        <f>SUM('5225900'!P23)</f>
        <v>0</v>
      </c>
      <c r="W130" s="118"/>
      <c r="X130" s="118"/>
      <c r="Y130" s="118"/>
    </row>
    <row r="131" spans="2:25" ht="11.25">
      <c r="B131" s="216" t="s">
        <v>242</v>
      </c>
      <c r="C131" s="118" t="s">
        <v>262</v>
      </c>
      <c r="D131" s="269" t="s">
        <v>231</v>
      </c>
      <c r="E131" s="217" t="s">
        <v>263</v>
      </c>
      <c r="F131" s="217" t="s">
        <v>256</v>
      </c>
      <c r="G131" s="217" t="s">
        <v>241</v>
      </c>
      <c r="H131" s="118">
        <f>SUM(J131+K131)</f>
        <v>135432.19999999998</v>
      </c>
      <c r="I131" s="118"/>
      <c r="J131" s="118">
        <f>SUM('5225900'!H32)</f>
        <v>131369.19999999998</v>
      </c>
      <c r="K131" s="118">
        <f>SUM('5225900'!I32)</f>
        <v>4063.0000000000005</v>
      </c>
      <c r="L131" s="118"/>
      <c r="M131" s="118">
        <f>SUM('5225900'!J32)</f>
        <v>24945.5</v>
      </c>
      <c r="N131" s="118">
        <f>SUM(P131+Q131)</f>
        <v>2127.8</v>
      </c>
      <c r="O131" s="118"/>
      <c r="P131" s="118">
        <f>SUM('5225900'!L32)</f>
        <v>2063.9</v>
      </c>
      <c r="Q131" s="118">
        <f>SUM('5225900'!M32)</f>
        <v>63.9</v>
      </c>
      <c r="R131" s="118"/>
      <c r="S131" s="118">
        <f>SUM(U131+V131)</f>
        <v>2127.8</v>
      </c>
      <c r="T131" s="118"/>
      <c r="U131" s="118">
        <f>SUM('5225900'!O32)</f>
        <v>2063.9</v>
      </c>
      <c r="V131" s="118">
        <f>SUM('5225900'!P32)</f>
        <v>63.9</v>
      </c>
      <c r="W131" s="118"/>
      <c r="X131" s="118">
        <f>SUM(P131/M131)*100</f>
        <v>8.273636527630234</v>
      </c>
      <c r="Y131" s="118">
        <f>(S131/N131)*100</f>
        <v>100</v>
      </c>
    </row>
    <row r="132" spans="2:25" ht="13.5" customHeight="1">
      <c r="B132" s="216" t="s">
        <v>174</v>
      </c>
      <c r="C132" s="118" t="s">
        <v>262</v>
      </c>
      <c r="D132" s="269" t="s">
        <v>231</v>
      </c>
      <c r="E132" s="217" t="s">
        <v>263</v>
      </c>
      <c r="F132" s="217" t="s">
        <v>256</v>
      </c>
      <c r="G132" s="217" t="s">
        <v>241</v>
      </c>
      <c r="H132" s="118">
        <f>J132+K132</f>
        <v>1427.8</v>
      </c>
      <c r="I132" s="118"/>
      <c r="J132" s="118">
        <f>'5225900'!H58</f>
        <v>1385</v>
      </c>
      <c r="K132" s="118">
        <f>'5225900'!I59</f>
        <v>42.8</v>
      </c>
      <c r="L132" s="118"/>
      <c r="M132" s="118">
        <f>'5225900'!J58</f>
        <v>0</v>
      </c>
      <c r="N132" s="118">
        <f>P132+Q132</f>
        <v>0</v>
      </c>
      <c r="O132" s="118"/>
      <c r="P132" s="118">
        <f>'5225900'!L58</f>
        <v>0</v>
      </c>
      <c r="Q132" s="118">
        <f>'5225900'!M58</f>
        <v>0</v>
      </c>
      <c r="R132" s="118"/>
      <c r="S132" s="118">
        <f>U132+V132</f>
        <v>0</v>
      </c>
      <c r="T132" s="118"/>
      <c r="U132" s="118">
        <f>'5225900'!O58</f>
        <v>0</v>
      </c>
      <c r="V132" s="118">
        <f>'5225900'!P58</f>
        <v>0</v>
      </c>
      <c r="W132" s="118"/>
      <c r="X132" s="118"/>
      <c r="Y132" s="118"/>
    </row>
    <row r="133" spans="2:25" ht="33.75">
      <c r="B133" s="473" t="s">
        <v>267</v>
      </c>
      <c r="C133" s="118" t="s">
        <v>262</v>
      </c>
      <c r="D133" s="217" t="s">
        <v>268</v>
      </c>
      <c r="E133" s="118"/>
      <c r="F133" s="218"/>
      <c r="G133" s="218"/>
      <c r="H133" s="222">
        <f aca="true" t="shared" si="53" ref="H133:K135">SUM(H134)</f>
        <v>354</v>
      </c>
      <c r="I133" s="222"/>
      <c r="J133" s="222">
        <f t="shared" si="53"/>
        <v>354</v>
      </c>
      <c r="K133" s="222">
        <f t="shared" si="53"/>
        <v>0</v>
      </c>
      <c r="L133" s="222"/>
      <c r="M133" s="222">
        <f aca="true" t="shared" si="54" ref="M133:Q135">SUM(M134)</f>
        <v>177</v>
      </c>
      <c r="N133" s="222">
        <f t="shared" si="54"/>
        <v>0</v>
      </c>
      <c r="O133" s="222"/>
      <c r="P133" s="222">
        <f t="shared" si="54"/>
        <v>0</v>
      </c>
      <c r="Q133" s="222">
        <f t="shared" si="54"/>
        <v>0</v>
      </c>
      <c r="R133" s="222"/>
      <c r="S133" s="222">
        <f aca="true" t="shared" si="55" ref="S133:V135">SUM(S134)</f>
        <v>0</v>
      </c>
      <c r="T133" s="222"/>
      <c r="U133" s="222">
        <f t="shared" si="55"/>
        <v>0</v>
      </c>
      <c r="V133" s="222">
        <f t="shared" si="55"/>
        <v>0</v>
      </c>
      <c r="W133" s="222"/>
      <c r="X133" s="118">
        <f>SUM(P133/M133)*100</f>
        <v>0</v>
      </c>
      <c r="Y133" s="118">
        <v>0</v>
      </c>
    </row>
    <row r="134" spans="2:25" ht="11.25">
      <c r="B134" s="118" t="s">
        <v>270</v>
      </c>
      <c r="C134" s="118" t="s">
        <v>262</v>
      </c>
      <c r="D134" s="217" t="s">
        <v>268</v>
      </c>
      <c r="E134" s="217" t="s">
        <v>269</v>
      </c>
      <c r="F134" s="218"/>
      <c r="G134" s="218"/>
      <c r="H134" s="118">
        <f t="shared" si="53"/>
        <v>354</v>
      </c>
      <c r="I134" s="118"/>
      <c r="J134" s="118">
        <f t="shared" si="53"/>
        <v>354</v>
      </c>
      <c r="K134" s="118">
        <f t="shared" si="53"/>
        <v>0</v>
      </c>
      <c r="L134" s="118"/>
      <c r="M134" s="118">
        <f t="shared" si="54"/>
        <v>177</v>
      </c>
      <c r="N134" s="118">
        <f t="shared" si="54"/>
        <v>0</v>
      </c>
      <c r="O134" s="118"/>
      <c r="P134" s="118">
        <f t="shared" si="54"/>
        <v>0</v>
      </c>
      <c r="Q134" s="118">
        <f t="shared" si="54"/>
        <v>0</v>
      </c>
      <c r="R134" s="118"/>
      <c r="S134" s="118">
        <f t="shared" si="55"/>
        <v>0</v>
      </c>
      <c r="T134" s="118"/>
      <c r="U134" s="118">
        <f t="shared" si="55"/>
        <v>0</v>
      </c>
      <c r="V134" s="118">
        <f t="shared" si="55"/>
        <v>0</v>
      </c>
      <c r="W134" s="118"/>
      <c r="X134" s="118"/>
      <c r="Y134" s="118"/>
    </row>
    <row r="135" spans="2:25" ht="22.5">
      <c r="B135" s="216" t="s">
        <v>272</v>
      </c>
      <c r="C135" s="118" t="s">
        <v>262</v>
      </c>
      <c r="D135" s="269" t="s">
        <v>268</v>
      </c>
      <c r="E135" s="217" t="s">
        <v>269</v>
      </c>
      <c r="F135" s="217" t="s">
        <v>271</v>
      </c>
      <c r="G135" s="217"/>
      <c r="H135" s="118">
        <f t="shared" si="53"/>
        <v>354</v>
      </c>
      <c r="I135" s="118"/>
      <c r="J135" s="118">
        <f t="shared" si="53"/>
        <v>354</v>
      </c>
      <c r="K135" s="118">
        <f t="shared" si="53"/>
        <v>0</v>
      </c>
      <c r="L135" s="118"/>
      <c r="M135" s="118">
        <f t="shared" si="54"/>
        <v>177</v>
      </c>
      <c r="N135" s="118">
        <f t="shared" si="54"/>
        <v>0</v>
      </c>
      <c r="O135" s="118"/>
      <c r="P135" s="118">
        <f t="shared" si="54"/>
        <v>0</v>
      </c>
      <c r="Q135" s="220">
        <f t="shared" si="54"/>
        <v>0</v>
      </c>
      <c r="R135" s="220"/>
      <c r="S135" s="118">
        <f t="shared" si="55"/>
        <v>0</v>
      </c>
      <c r="T135" s="118"/>
      <c r="U135" s="269">
        <f t="shared" si="55"/>
        <v>0</v>
      </c>
      <c r="V135" s="217">
        <f t="shared" si="55"/>
        <v>0</v>
      </c>
      <c r="W135" s="217"/>
      <c r="X135" s="118"/>
      <c r="Y135" s="118"/>
    </row>
    <row r="136" spans="2:25" ht="11.25">
      <c r="B136" s="216" t="s">
        <v>248</v>
      </c>
      <c r="C136" s="118" t="s">
        <v>262</v>
      </c>
      <c r="D136" s="217" t="s">
        <v>268</v>
      </c>
      <c r="E136" s="269" t="s">
        <v>269</v>
      </c>
      <c r="F136" s="217" t="s">
        <v>271</v>
      </c>
      <c r="G136" s="218" t="s">
        <v>249</v>
      </c>
      <c r="H136" s="118">
        <f>SUM(J136+K136)</f>
        <v>354</v>
      </c>
      <c r="I136" s="118"/>
      <c r="J136" s="118">
        <f>SUM('5225900'!H68)</f>
        <v>354</v>
      </c>
      <c r="K136" s="118">
        <f>SUM('5225900'!I68)</f>
        <v>0</v>
      </c>
      <c r="L136" s="118"/>
      <c r="M136" s="118">
        <f>SUM('5225900'!J68)</f>
        <v>177</v>
      </c>
      <c r="N136" s="118">
        <f>SUM(P136+Q136)</f>
        <v>0</v>
      </c>
      <c r="O136" s="118"/>
      <c r="P136" s="118">
        <f>SUM('5225900'!L68)</f>
        <v>0</v>
      </c>
      <c r="Q136" s="350">
        <f>SUM('5225900'!M68)</f>
        <v>0</v>
      </c>
      <c r="R136" s="350"/>
      <c r="S136" s="118">
        <f>SUM(U136+V136)</f>
        <v>0</v>
      </c>
      <c r="T136" s="118"/>
      <c r="U136" s="217">
        <f>SUM('5225900'!O68)</f>
        <v>0</v>
      </c>
      <c r="V136" s="118">
        <f>SUM('5225900'!P68)</f>
        <v>0</v>
      </c>
      <c r="W136" s="118"/>
      <c r="X136" s="118"/>
      <c r="Y136" s="118"/>
    </row>
    <row r="137" spans="2:25" ht="20.25" customHeight="1">
      <c r="B137" s="224" t="s">
        <v>142</v>
      </c>
      <c r="C137" s="118" t="s">
        <v>262</v>
      </c>
      <c r="D137" s="217" t="s">
        <v>252</v>
      </c>
      <c r="E137" s="217"/>
      <c r="F137" s="218"/>
      <c r="G137" s="218"/>
      <c r="H137" s="222">
        <f>SUM(H138)</f>
        <v>1939.7</v>
      </c>
      <c r="I137" s="222"/>
      <c r="J137" s="222">
        <f>J138</f>
        <v>1939.7</v>
      </c>
      <c r="K137" s="118"/>
      <c r="L137" s="118"/>
      <c r="M137" s="222">
        <f>M138</f>
        <v>0</v>
      </c>
      <c r="N137" s="222">
        <f>Q137+P137</f>
        <v>0</v>
      </c>
      <c r="O137" s="222"/>
      <c r="P137" s="222">
        <f>P138</f>
        <v>0</v>
      </c>
      <c r="Q137" s="222"/>
      <c r="R137" s="222"/>
      <c r="S137" s="222"/>
      <c r="T137" s="222"/>
      <c r="U137" s="475">
        <f>U138</f>
        <v>0</v>
      </c>
      <c r="V137" s="227"/>
      <c r="W137" s="227"/>
      <c r="X137" s="222">
        <v>0</v>
      </c>
      <c r="Y137" s="222">
        <v>0</v>
      </c>
    </row>
    <row r="138" spans="2:25" ht="11.25">
      <c r="B138" s="216" t="s">
        <v>255</v>
      </c>
      <c r="C138" s="118" t="s">
        <v>262</v>
      </c>
      <c r="D138" s="269" t="s">
        <v>252</v>
      </c>
      <c r="E138" s="217" t="s">
        <v>253</v>
      </c>
      <c r="F138" s="217"/>
      <c r="G138" s="217"/>
      <c r="H138" s="118">
        <f>SUM(H139)</f>
        <v>1939.7</v>
      </c>
      <c r="I138" s="118"/>
      <c r="J138" s="118">
        <f>J139</f>
        <v>1939.7</v>
      </c>
      <c r="K138" s="118"/>
      <c r="L138" s="118"/>
      <c r="M138" s="118">
        <f>M139</f>
        <v>0</v>
      </c>
      <c r="N138" s="118">
        <f>Q138+P138</f>
        <v>0</v>
      </c>
      <c r="O138" s="118"/>
      <c r="P138" s="118">
        <f>P139</f>
        <v>0</v>
      </c>
      <c r="Q138" s="220"/>
      <c r="R138" s="220"/>
      <c r="S138" s="118"/>
      <c r="T138" s="118"/>
      <c r="U138" s="476">
        <f>U139</f>
        <v>0</v>
      </c>
      <c r="V138" s="217"/>
      <c r="W138" s="217"/>
      <c r="X138" s="118"/>
      <c r="Y138" s="118"/>
    </row>
    <row r="139" spans="2:25" ht="11.25">
      <c r="B139" s="474" t="s">
        <v>143</v>
      </c>
      <c r="C139" s="118" t="s">
        <v>262</v>
      </c>
      <c r="D139" s="217" t="s">
        <v>252</v>
      </c>
      <c r="E139" s="269" t="s">
        <v>253</v>
      </c>
      <c r="F139" s="217" t="s">
        <v>253</v>
      </c>
      <c r="G139" s="218"/>
      <c r="H139" s="118">
        <f>SUM(H140)</f>
        <v>1939.7</v>
      </c>
      <c r="I139" s="118"/>
      <c r="J139" s="118">
        <f>J140</f>
        <v>1939.7</v>
      </c>
      <c r="K139" s="222"/>
      <c r="L139" s="222"/>
      <c r="M139" s="118">
        <f>M140</f>
        <v>0</v>
      </c>
      <c r="N139" s="118">
        <f>Q139+P139</f>
        <v>0</v>
      </c>
      <c r="O139" s="118"/>
      <c r="P139" s="118">
        <f>P140</f>
        <v>0</v>
      </c>
      <c r="Q139" s="473"/>
      <c r="R139" s="473"/>
      <c r="S139" s="118"/>
      <c r="T139" s="118"/>
      <c r="U139" s="476">
        <f>U140</f>
        <v>0</v>
      </c>
      <c r="V139" s="118"/>
      <c r="W139" s="118"/>
      <c r="X139" s="118"/>
      <c r="Y139" s="118"/>
    </row>
    <row r="140" spans="2:25" ht="11.25">
      <c r="B140" s="118" t="s">
        <v>144</v>
      </c>
      <c r="C140" s="118" t="s">
        <v>262</v>
      </c>
      <c r="D140" s="217" t="s">
        <v>252</v>
      </c>
      <c r="E140" s="217" t="s">
        <v>253</v>
      </c>
      <c r="F140" s="218" t="s">
        <v>253</v>
      </c>
      <c r="G140" s="218" t="s">
        <v>314</v>
      </c>
      <c r="H140" s="118">
        <f>SUM(J140+K140)</f>
        <v>1939.7</v>
      </c>
      <c r="I140" s="118"/>
      <c r="J140" s="118">
        <f>'5225900'!H74</f>
        <v>1939.7</v>
      </c>
      <c r="K140" s="118"/>
      <c r="L140" s="118"/>
      <c r="M140" s="118">
        <f>'5225900'!J74</f>
        <v>0</v>
      </c>
      <c r="N140" s="118">
        <f>Q140+P140</f>
        <v>0</v>
      </c>
      <c r="O140" s="118"/>
      <c r="P140" s="118">
        <v>0</v>
      </c>
      <c r="Q140" s="118"/>
      <c r="R140" s="118"/>
      <c r="S140" s="118"/>
      <c r="T140" s="118"/>
      <c r="U140" s="476">
        <f>'5225900'!O74</f>
        <v>0</v>
      </c>
      <c r="V140" s="217"/>
      <c r="W140" s="217"/>
      <c r="X140" s="118"/>
      <c r="Y140" s="118"/>
    </row>
    <row r="141" spans="1:25" s="28" customFormat="1" ht="42">
      <c r="A141" s="169">
        <v>8</v>
      </c>
      <c r="B141" s="212" t="s">
        <v>273</v>
      </c>
      <c r="C141" s="212" t="s">
        <v>274</v>
      </c>
      <c r="D141" s="213"/>
      <c r="E141" s="212"/>
      <c r="F141" s="213"/>
      <c r="G141" s="213"/>
      <c r="H141" s="214">
        <f>SUM(J141+K141)</f>
        <v>92191.6</v>
      </c>
      <c r="I141" s="214"/>
      <c r="J141" s="214">
        <f>SUM(J142+J147)</f>
        <v>92101.5</v>
      </c>
      <c r="K141" s="214">
        <f aca="true" t="shared" si="56" ref="H141:Q149">SUM(K142)</f>
        <v>90.1</v>
      </c>
      <c r="L141" s="214"/>
      <c r="M141" s="214">
        <f>M142+M147</f>
        <v>45396</v>
      </c>
      <c r="N141" s="214">
        <f>SUM(P141+Q141)</f>
        <v>36474.299999999996</v>
      </c>
      <c r="O141" s="214"/>
      <c r="P141" s="214">
        <f>P142+P147</f>
        <v>36384.2</v>
      </c>
      <c r="Q141" s="214">
        <f>Q142+Q147</f>
        <v>90.1</v>
      </c>
      <c r="R141" s="214"/>
      <c r="S141" s="214">
        <f>SUM(U141+V141)</f>
        <v>36474.299999999996</v>
      </c>
      <c r="T141" s="214"/>
      <c r="U141" s="214">
        <f>U142+U147</f>
        <v>36384.2</v>
      </c>
      <c r="V141" s="214">
        <f>V142+V147</f>
        <v>90.1</v>
      </c>
      <c r="W141" s="214"/>
      <c r="X141" s="214">
        <f>SUM(P141/M141)*100</f>
        <v>80.14847123094545</v>
      </c>
      <c r="Y141" s="214">
        <f>(S141/N141)*100</f>
        <v>100</v>
      </c>
    </row>
    <row r="142" spans="2:25" ht="22.5">
      <c r="B142" s="215" t="s">
        <v>116</v>
      </c>
      <c r="C142" s="226" t="s">
        <v>274</v>
      </c>
      <c r="D142" s="227" t="s">
        <v>276</v>
      </c>
      <c r="E142" s="222"/>
      <c r="F142" s="228"/>
      <c r="G142" s="228"/>
      <c r="H142" s="222">
        <f t="shared" si="56"/>
        <v>9006.300000000001</v>
      </c>
      <c r="I142" s="222"/>
      <c r="J142" s="222">
        <f t="shared" si="56"/>
        <v>8916.2</v>
      </c>
      <c r="K142" s="222">
        <f t="shared" si="56"/>
        <v>90.1</v>
      </c>
      <c r="L142" s="222"/>
      <c r="M142" s="222">
        <f t="shared" si="56"/>
        <v>8916.2</v>
      </c>
      <c r="N142" s="222">
        <f t="shared" si="56"/>
        <v>9006.300000000001</v>
      </c>
      <c r="O142" s="222"/>
      <c r="P142" s="222">
        <f t="shared" si="56"/>
        <v>8916.2</v>
      </c>
      <c r="Q142" s="223">
        <f t="shared" si="56"/>
        <v>90.1</v>
      </c>
      <c r="R142" s="222"/>
      <c r="S142" s="223">
        <f aca="true" t="shared" si="57" ref="S142:V149">SUM(S143)</f>
        <v>9006.300000000001</v>
      </c>
      <c r="T142" s="223"/>
      <c r="U142" s="223">
        <f t="shared" si="57"/>
        <v>8916.2</v>
      </c>
      <c r="V142" s="223">
        <f t="shared" si="57"/>
        <v>90.1</v>
      </c>
      <c r="W142" s="222"/>
      <c r="X142" s="223">
        <f>SUM(P142/M142)*100</f>
        <v>100</v>
      </c>
      <c r="Y142" s="222">
        <f>(S142/N142)*100</f>
        <v>100</v>
      </c>
    </row>
    <row r="143" spans="2:25" ht="11.25">
      <c r="B143" s="118" t="s">
        <v>279</v>
      </c>
      <c r="C143" s="216" t="s">
        <v>274</v>
      </c>
      <c r="D143" s="217" t="s">
        <v>276</v>
      </c>
      <c r="E143" s="217" t="s">
        <v>271</v>
      </c>
      <c r="F143" s="218"/>
      <c r="G143" s="218"/>
      <c r="H143" s="118">
        <f t="shared" si="56"/>
        <v>9006.300000000001</v>
      </c>
      <c r="I143" s="118"/>
      <c r="J143" s="118">
        <f t="shared" si="56"/>
        <v>8916.2</v>
      </c>
      <c r="K143" s="118">
        <f t="shared" si="56"/>
        <v>90.1</v>
      </c>
      <c r="L143" s="118"/>
      <c r="M143" s="118">
        <f t="shared" si="56"/>
        <v>8916.2</v>
      </c>
      <c r="N143" s="118">
        <f t="shared" si="56"/>
        <v>9006.300000000001</v>
      </c>
      <c r="O143" s="118"/>
      <c r="P143" s="118">
        <f t="shared" si="56"/>
        <v>8916.2</v>
      </c>
      <c r="Q143" s="219">
        <f t="shared" si="56"/>
        <v>90.1</v>
      </c>
      <c r="R143" s="118"/>
      <c r="S143" s="219">
        <f t="shared" si="57"/>
        <v>9006.300000000001</v>
      </c>
      <c r="T143" s="219"/>
      <c r="U143" s="219">
        <f t="shared" si="57"/>
        <v>8916.2</v>
      </c>
      <c r="V143" s="219">
        <f t="shared" si="57"/>
        <v>90.1</v>
      </c>
      <c r="W143" s="118"/>
      <c r="X143" s="219"/>
      <c r="Y143" s="118"/>
    </row>
    <row r="144" spans="2:25" ht="11.25">
      <c r="B144" s="118" t="s">
        <v>280</v>
      </c>
      <c r="C144" s="216" t="s">
        <v>274</v>
      </c>
      <c r="D144" s="217" t="s">
        <v>276</v>
      </c>
      <c r="E144" s="217" t="s">
        <v>271</v>
      </c>
      <c r="F144" s="217">
        <v>12</v>
      </c>
      <c r="G144" s="218"/>
      <c r="H144" s="118">
        <f t="shared" si="56"/>
        <v>9006.300000000001</v>
      </c>
      <c r="I144" s="118"/>
      <c r="J144" s="118">
        <f t="shared" si="56"/>
        <v>8916.2</v>
      </c>
      <c r="K144" s="118">
        <f t="shared" si="56"/>
        <v>90.1</v>
      </c>
      <c r="L144" s="118"/>
      <c r="M144" s="118">
        <f t="shared" si="56"/>
        <v>8916.2</v>
      </c>
      <c r="N144" s="118">
        <f t="shared" si="56"/>
        <v>9006.300000000001</v>
      </c>
      <c r="O144" s="118"/>
      <c r="P144" s="118">
        <f t="shared" si="56"/>
        <v>8916.2</v>
      </c>
      <c r="Q144" s="219">
        <f t="shared" si="56"/>
        <v>90.1</v>
      </c>
      <c r="R144" s="118"/>
      <c r="S144" s="219">
        <f t="shared" si="57"/>
        <v>9006.300000000001</v>
      </c>
      <c r="T144" s="219"/>
      <c r="U144" s="219">
        <f t="shared" si="57"/>
        <v>8916.2</v>
      </c>
      <c r="V144" s="219">
        <f t="shared" si="57"/>
        <v>90.1</v>
      </c>
      <c r="W144" s="118"/>
      <c r="X144" s="219"/>
      <c r="Y144" s="118"/>
    </row>
    <row r="145" spans="2:25" ht="11.25">
      <c r="B145" s="216" t="s">
        <v>240</v>
      </c>
      <c r="C145" s="216" t="s">
        <v>274</v>
      </c>
      <c r="D145" s="217" t="s">
        <v>276</v>
      </c>
      <c r="E145" s="217" t="s">
        <v>271</v>
      </c>
      <c r="F145" s="217">
        <v>12</v>
      </c>
      <c r="G145" s="217" t="s">
        <v>241</v>
      </c>
      <c r="H145" s="118">
        <f t="shared" si="56"/>
        <v>9006.300000000001</v>
      </c>
      <c r="I145" s="118"/>
      <c r="J145" s="118">
        <f t="shared" si="56"/>
        <v>8916.2</v>
      </c>
      <c r="K145" s="118">
        <f t="shared" si="56"/>
        <v>90.1</v>
      </c>
      <c r="L145" s="118"/>
      <c r="M145" s="118">
        <f t="shared" si="56"/>
        <v>8916.2</v>
      </c>
      <c r="N145" s="118">
        <f t="shared" si="56"/>
        <v>9006.300000000001</v>
      </c>
      <c r="O145" s="118"/>
      <c r="P145" s="118">
        <f t="shared" si="56"/>
        <v>8916.2</v>
      </c>
      <c r="Q145" s="219">
        <f t="shared" si="56"/>
        <v>90.1</v>
      </c>
      <c r="R145" s="118"/>
      <c r="S145" s="219">
        <f t="shared" si="57"/>
        <v>9006.300000000001</v>
      </c>
      <c r="T145" s="219"/>
      <c r="U145" s="219">
        <f t="shared" si="57"/>
        <v>8916.2</v>
      </c>
      <c r="V145" s="219">
        <f t="shared" si="57"/>
        <v>90.1</v>
      </c>
      <c r="W145" s="118"/>
      <c r="X145" s="219"/>
      <c r="Y145" s="118"/>
    </row>
    <row r="146" spans="2:25" ht="11.25">
      <c r="B146" s="216" t="s">
        <v>242</v>
      </c>
      <c r="C146" s="216" t="s">
        <v>274</v>
      </c>
      <c r="D146" s="217" t="s">
        <v>276</v>
      </c>
      <c r="E146" s="217" t="s">
        <v>271</v>
      </c>
      <c r="F146" s="217">
        <v>12</v>
      </c>
      <c r="G146" s="217" t="s">
        <v>241</v>
      </c>
      <c r="H146" s="118">
        <f>SUM(J146+K146)</f>
        <v>9006.300000000001</v>
      </c>
      <c r="I146" s="118"/>
      <c r="J146" s="216">
        <f>SUM('5226000'!H13)</f>
        <v>8916.2</v>
      </c>
      <c r="K146" s="216">
        <f>SUM('5226000'!I13)</f>
        <v>90.1</v>
      </c>
      <c r="L146" s="118"/>
      <c r="M146" s="216">
        <f>SUM('5226000'!J13)</f>
        <v>8916.2</v>
      </c>
      <c r="N146" s="118">
        <f>SUM(P146+Q146)</f>
        <v>9006.300000000001</v>
      </c>
      <c r="O146" s="118"/>
      <c r="P146" s="216">
        <f>SUM('5226000'!L13)</f>
        <v>8916.2</v>
      </c>
      <c r="Q146" s="221">
        <f>SUM('5226000'!M13)</f>
        <v>90.1</v>
      </c>
      <c r="R146" s="221"/>
      <c r="S146" s="219">
        <f>SUM(U146+V146)</f>
        <v>9006.300000000001</v>
      </c>
      <c r="T146" s="219"/>
      <c r="U146" s="221">
        <f>SUM('5226000'!O13)</f>
        <v>8916.2</v>
      </c>
      <c r="V146" s="221">
        <f>SUM('5226000'!P13)</f>
        <v>90.1</v>
      </c>
      <c r="W146" s="221"/>
      <c r="X146" s="219"/>
      <c r="Y146" s="118"/>
    </row>
    <row r="147" spans="2:25" ht="22.5">
      <c r="B147" s="215" t="s">
        <v>117</v>
      </c>
      <c r="C147" s="226" t="s">
        <v>274</v>
      </c>
      <c r="D147" s="227" t="s">
        <v>118</v>
      </c>
      <c r="E147" s="222"/>
      <c r="F147" s="228"/>
      <c r="G147" s="228"/>
      <c r="H147" s="222">
        <f t="shared" si="56"/>
        <v>83185.3</v>
      </c>
      <c r="I147" s="222"/>
      <c r="J147" s="222">
        <f t="shared" si="56"/>
        <v>83185.3</v>
      </c>
      <c r="K147" s="222">
        <f t="shared" si="56"/>
        <v>0</v>
      </c>
      <c r="L147" s="222"/>
      <c r="M147" s="222">
        <f t="shared" si="56"/>
        <v>36479.8</v>
      </c>
      <c r="N147" s="222">
        <f t="shared" si="56"/>
        <v>27468</v>
      </c>
      <c r="O147" s="222"/>
      <c r="P147" s="222">
        <f t="shared" si="56"/>
        <v>27468</v>
      </c>
      <c r="Q147" s="222">
        <f t="shared" si="56"/>
        <v>0</v>
      </c>
      <c r="R147" s="222"/>
      <c r="S147" s="223">
        <f t="shared" si="57"/>
        <v>27468</v>
      </c>
      <c r="T147" s="223"/>
      <c r="U147" s="223">
        <f t="shared" si="57"/>
        <v>27468</v>
      </c>
      <c r="V147" s="222">
        <f t="shared" si="57"/>
        <v>0</v>
      </c>
      <c r="W147" s="222"/>
      <c r="X147" s="223">
        <f>SUM(P147/M147)*100</f>
        <v>75.29646544114824</v>
      </c>
      <c r="Y147" s="222">
        <f>(S147/N147)*100</f>
        <v>100</v>
      </c>
    </row>
    <row r="148" spans="2:25" ht="11.25">
      <c r="B148" s="118" t="s">
        <v>279</v>
      </c>
      <c r="C148" s="216" t="s">
        <v>274</v>
      </c>
      <c r="D148" s="217" t="s">
        <v>118</v>
      </c>
      <c r="E148" s="217" t="s">
        <v>271</v>
      </c>
      <c r="F148" s="218"/>
      <c r="G148" s="218"/>
      <c r="H148" s="118">
        <f t="shared" si="56"/>
        <v>83185.3</v>
      </c>
      <c r="I148" s="118"/>
      <c r="J148" s="118">
        <f t="shared" si="56"/>
        <v>83185.3</v>
      </c>
      <c r="K148" s="118">
        <f t="shared" si="56"/>
        <v>0</v>
      </c>
      <c r="L148" s="118"/>
      <c r="M148" s="118">
        <f t="shared" si="56"/>
        <v>36479.8</v>
      </c>
      <c r="N148" s="118">
        <f t="shared" si="56"/>
        <v>27468</v>
      </c>
      <c r="O148" s="118"/>
      <c r="P148" s="118">
        <f t="shared" si="56"/>
        <v>27468</v>
      </c>
      <c r="Q148" s="118">
        <f t="shared" si="56"/>
        <v>0</v>
      </c>
      <c r="R148" s="118"/>
      <c r="S148" s="219">
        <f t="shared" si="57"/>
        <v>27468</v>
      </c>
      <c r="T148" s="219"/>
      <c r="U148" s="219">
        <f t="shared" si="57"/>
        <v>27468</v>
      </c>
      <c r="V148" s="118">
        <f t="shared" si="57"/>
        <v>0</v>
      </c>
      <c r="W148" s="118"/>
      <c r="X148" s="219"/>
      <c r="Y148" s="118"/>
    </row>
    <row r="149" spans="2:25" ht="11.25">
      <c r="B149" s="118" t="s">
        <v>280</v>
      </c>
      <c r="C149" s="216" t="s">
        <v>274</v>
      </c>
      <c r="D149" s="217" t="s">
        <v>118</v>
      </c>
      <c r="E149" s="217" t="s">
        <v>271</v>
      </c>
      <c r="F149" s="217">
        <v>12</v>
      </c>
      <c r="G149" s="218"/>
      <c r="H149" s="118">
        <f t="shared" si="56"/>
        <v>83185.3</v>
      </c>
      <c r="I149" s="118"/>
      <c r="J149" s="118">
        <f t="shared" si="56"/>
        <v>83185.3</v>
      </c>
      <c r="K149" s="118">
        <f t="shared" si="56"/>
        <v>0</v>
      </c>
      <c r="L149" s="118"/>
      <c r="M149" s="118">
        <f t="shared" si="56"/>
        <v>36479.8</v>
      </c>
      <c r="N149" s="118">
        <f t="shared" si="56"/>
        <v>27468</v>
      </c>
      <c r="O149" s="118"/>
      <c r="P149" s="118">
        <f t="shared" si="56"/>
        <v>27468</v>
      </c>
      <c r="Q149" s="118">
        <f t="shared" si="56"/>
        <v>0</v>
      </c>
      <c r="R149" s="118"/>
      <c r="S149" s="219">
        <f t="shared" si="57"/>
        <v>27468</v>
      </c>
      <c r="T149" s="219"/>
      <c r="U149" s="219">
        <f t="shared" si="57"/>
        <v>27468</v>
      </c>
      <c r="V149" s="118">
        <f t="shared" si="57"/>
        <v>0</v>
      </c>
      <c r="W149" s="118"/>
      <c r="X149" s="219"/>
      <c r="Y149" s="118"/>
    </row>
    <row r="150" spans="2:25" ht="11.25">
      <c r="B150" s="216" t="s">
        <v>324</v>
      </c>
      <c r="C150" s="216" t="s">
        <v>274</v>
      </c>
      <c r="D150" s="217" t="s">
        <v>118</v>
      </c>
      <c r="E150" s="217" t="s">
        <v>271</v>
      </c>
      <c r="F150" s="217">
        <v>12</v>
      </c>
      <c r="G150" s="217" t="s">
        <v>276</v>
      </c>
      <c r="H150" s="118">
        <f>J150+K150</f>
        <v>83185.3</v>
      </c>
      <c r="I150" s="118"/>
      <c r="J150" s="118">
        <f>'5226000'!H17</f>
        <v>83185.3</v>
      </c>
      <c r="K150" s="118">
        <v>0</v>
      </c>
      <c r="L150" s="118"/>
      <c r="M150" s="118">
        <f>'5226000'!J14</f>
        <v>36479.8</v>
      </c>
      <c r="N150" s="118">
        <f>P150+Q150</f>
        <v>27468</v>
      </c>
      <c r="O150" s="118"/>
      <c r="P150" s="118">
        <f>'5226000'!L17</f>
        <v>27468</v>
      </c>
      <c r="Q150" s="118">
        <v>0</v>
      </c>
      <c r="R150" s="118"/>
      <c r="S150" s="219">
        <f>U150+V150</f>
        <v>27468</v>
      </c>
      <c r="T150" s="219"/>
      <c r="U150" s="219">
        <f>'5226000'!O17</f>
        <v>27468</v>
      </c>
      <c r="V150" s="118">
        <v>0</v>
      </c>
      <c r="W150" s="118"/>
      <c r="X150" s="219"/>
      <c r="Y150" s="118"/>
    </row>
    <row r="151" spans="1:25" ht="53.25">
      <c r="A151" s="128">
        <v>9</v>
      </c>
      <c r="B151" s="212" t="s">
        <v>277</v>
      </c>
      <c r="C151" s="214" t="s">
        <v>278</v>
      </c>
      <c r="D151" s="229"/>
      <c r="E151" s="230"/>
      <c r="F151" s="229"/>
      <c r="G151" s="229"/>
      <c r="H151" s="214">
        <f>J151+K151+L151</f>
        <v>484082.2</v>
      </c>
      <c r="I151" s="214"/>
      <c r="J151" s="214">
        <f>J153+J157+J164</f>
        <v>472805.2</v>
      </c>
      <c r="K151" s="214">
        <f aca="true" t="shared" si="58" ref="K151:W151">K153+K157+K164</f>
        <v>826.9999999999999</v>
      </c>
      <c r="L151" s="214">
        <f t="shared" si="58"/>
        <v>10450</v>
      </c>
      <c r="M151" s="214">
        <f t="shared" si="58"/>
        <v>49561.299999999996</v>
      </c>
      <c r="N151" s="214">
        <f>P151+Q151+R151</f>
        <v>32338.000000000004</v>
      </c>
      <c r="O151" s="214"/>
      <c r="P151" s="214">
        <f t="shared" si="58"/>
        <v>32224.500000000004</v>
      </c>
      <c r="Q151" s="214">
        <f t="shared" si="58"/>
        <v>113.5</v>
      </c>
      <c r="R151" s="214">
        <f t="shared" si="58"/>
        <v>0</v>
      </c>
      <c r="S151" s="214">
        <f>U151+V151+W151</f>
        <v>32338.000000000004</v>
      </c>
      <c r="T151" s="214"/>
      <c r="U151" s="214">
        <f t="shared" si="58"/>
        <v>32224.500000000004</v>
      </c>
      <c r="V151" s="214">
        <f t="shared" si="58"/>
        <v>113.5</v>
      </c>
      <c r="W151" s="214">
        <f t="shared" si="58"/>
        <v>0</v>
      </c>
      <c r="X151" s="214">
        <f>(P151/M151)*100</f>
        <v>65.01948092564159</v>
      </c>
      <c r="Y151" s="214">
        <f>(S151/N151)*100</f>
        <v>100</v>
      </c>
    </row>
    <row r="152" spans="1:25" s="26" customFormat="1" ht="11.25">
      <c r="A152" s="417"/>
      <c r="B152" s="418" t="s">
        <v>485</v>
      </c>
      <c r="C152" s="410"/>
      <c r="D152" s="419"/>
      <c r="E152" s="410"/>
      <c r="F152" s="419"/>
      <c r="G152" s="419"/>
      <c r="H152" s="410"/>
      <c r="I152" s="410"/>
      <c r="J152" s="429"/>
      <c r="K152" s="429"/>
      <c r="L152" s="429"/>
      <c r="M152" s="429"/>
      <c r="N152" s="429"/>
      <c r="O152" s="429"/>
      <c r="P152" s="429"/>
      <c r="Q152" s="429"/>
      <c r="R152" s="429"/>
      <c r="S152" s="429"/>
      <c r="T152" s="429"/>
      <c r="U152" s="429">
        <f>'5226100'!R9</f>
        <v>28419.9</v>
      </c>
      <c r="V152" s="429"/>
      <c r="W152" s="429"/>
      <c r="X152" s="429"/>
      <c r="Y152" s="410"/>
    </row>
    <row r="153" spans="2:25" ht="22.5">
      <c r="B153" s="224" t="s">
        <v>298</v>
      </c>
      <c r="C153" s="118" t="s">
        <v>278</v>
      </c>
      <c r="D153" s="217" t="s">
        <v>239</v>
      </c>
      <c r="E153" s="118"/>
      <c r="F153" s="218"/>
      <c r="G153" s="218"/>
      <c r="H153" s="222">
        <f>J153+K153+L153</f>
        <v>69226.2</v>
      </c>
      <c r="I153" s="222"/>
      <c r="J153" s="223">
        <f aca="true" t="shared" si="59" ref="H153:W155">SUM(J154)</f>
        <v>59226.2</v>
      </c>
      <c r="K153" s="223">
        <f t="shared" si="59"/>
        <v>0</v>
      </c>
      <c r="L153" s="223">
        <f t="shared" si="59"/>
        <v>10000</v>
      </c>
      <c r="M153" s="223">
        <f t="shared" si="59"/>
        <v>0</v>
      </c>
      <c r="N153" s="222">
        <f>P153+Q153+R153</f>
        <v>0</v>
      </c>
      <c r="O153" s="222"/>
      <c r="P153" s="223">
        <f t="shared" si="59"/>
        <v>0</v>
      </c>
      <c r="Q153" s="223">
        <f t="shared" si="59"/>
        <v>0</v>
      </c>
      <c r="R153" s="223">
        <f t="shared" si="59"/>
        <v>0</v>
      </c>
      <c r="S153" s="222">
        <f>U153+V153+W153</f>
        <v>0</v>
      </c>
      <c r="T153" s="222"/>
      <c r="U153" s="223">
        <f t="shared" si="59"/>
        <v>0</v>
      </c>
      <c r="V153" s="223">
        <f t="shared" si="59"/>
        <v>0</v>
      </c>
      <c r="W153" s="223">
        <f t="shared" si="59"/>
        <v>0</v>
      </c>
      <c r="X153" s="219"/>
      <c r="Y153" s="118"/>
    </row>
    <row r="154" spans="2:25" ht="11.25">
      <c r="B154" s="118" t="s">
        <v>279</v>
      </c>
      <c r="C154" s="118" t="s">
        <v>278</v>
      </c>
      <c r="D154" s="217" t="s">
        <v>239</v>
      </c>
      <c r="E154" s="217" t="s">
        <v>271</v>
      </c>
      <c r="F154" s="218"/>
      <c r="G154" s="218"/>
      <c r="H154" s="118">
        <f t="shared" si="59"/>
        <v>59226.2</v>
      </c>
      <c r="I154" s="118"/>
      <c r="J154" s="219">
        <f t="shared" si="59"/>
        <v>59226.2</v>
      </c>
      <c r="K154" s="219">
        <f t="shared" si="59"/>
        <v>0</v>
      </c>
      <c r="L154" s="219">
        <f t="shared" si="59"/>
        <v>10000</v>
      </c>
      <c r="M154" s="219">
        <f t="shared" si="59"/>
        <v>0</v>
      </c>
      <c r="N154" s="219">
        <f t="shared" si="59"/>
        <v>0</v>
      </c>
      <c r="O154" s="219"/>
      <c r="P154" s="219">
        <f t="shared" si="59"/>
        <v>0</v>
      </c>
      <c r="Q154" s="219">
        <f t="shared" si="59"/>
        <v>0</v>
      </c>
      <c r="R154" s="219">
        <f t="shared" si="59"/>
        <v>0</v>
      </c>
      <c r="S154" s="219">
        <f aca="true" t="shared" si="60" ref="S154:W155">SUM(S155)</f>
        <v>0</v>
      </c>
      <c r="T154" s="219"/>
      <c r="U154" s="219">
        <f t="shared" si="60"/>
        <v>0</v>
      </c>
      <c r="V154" s="219">
        <f t="shared" si="60"/>
        <v>0</v>
      </c>
      <c r="W154" s="219">
        <f t="shared" si="60"/>
        <v>0</v>
      </c>
      <c r="X154" s="219"/>
      <c r="Y154" s="118"/>
    </row>
    <row r="155" spans="2:25" ht="11.25">
      <c r="B155" s="216" t="s">
        <v>280</v>
      </c>
      <c r="C155" s="118" t="s">
        <v>278</v>
      </c>
      <c r="D155" s="217" t="s">
        <v>239</v>
      </c>
      <c r="E155" s="217" t="s">
        <v>271</v>
      </c>
      <c r="F155" s="217" t="s">
        <v>269</v>
      </c>
      <c r="G155" s="218"/>
      <c r="H155" s="118">
        <f t="shared" si="59"/>
        <v>59226.2</v>
      </c>
      <c r="I155" s="118"/>
      <c r="J155" s="219">
        <f t="shared" si="59"/>
        <v>59226.2</v>
      </c>
      <c r="K155" s="219">
        <f t="shared" si="59"/>
        <v>0</v>
      </c>
      <c r="L155" s="219">
        <f t="shared" si="59"/>
        <v>10000</v>
      </c>
      <c r="M155" s="219">
        <f t="shared" si="59"/>
        <v>0</v>
      </c>
      <c r="N155" s="219">
        <f t="shared" si="59"/>
        <v>0</v>
      </c>
      <c r="O155" s="219"/>
      <c r="P155" s="219">
        <f t="shared" si="59"/>
        <v>0</v>
      </c>
      <c r="Q155" s="219">
        <f t="shared" si="59"/>
        <v>0</v>
      </c>
      <c r="R155" s="219">
        <f t="shared" si="59"/>
        <v>0</v>
      </c>
      <c r="S155" s="219">
        <f t="shared" si="60"/>
        <v>0</v>
      </c>
      <c r="T155" s="219"/>
      <c r="U155" s="219">
        <f t="shared" si="60"/>
        <v>0</v>
      </c>
      <c r="V155" s="219">
        <f t="shared" si="60"/>
        <v>0</v>
      </c>
      <c r="W155" s="219">
        <f t="shared" si="60"/>
        <v>0</v>
      </c>
      <c r="X155" s="219"/>
      <c r="Y155" s="118"/>
    </row>
    <row r="156" spans="2:25" ht="11.25">
      <c r="B156" s="225" t="s">
        <v>390</v>
      </c>
      <c r="C156" s="118" t="s">
        <v>278</v>
      </c>
      <c r="D156" s="217" t="s">
        <v>239</v>
      </c>
      <c r="E156" s="217" t="s">
        <v>271</v>
      </c>
      <c r="F156" s="217" t="s">
        <v>269</v>
      </c>
      <c r="G156" s="217" t="s">
        <v>391</v>
      </c>
      <c r="H156" s="118">
        <f>SUM(J156+K156)</f>
        <v>59226.2</v>
      </c>
      <c r="I156" s="118"/>
      <c r="J156" s="219">
        <f>SUM('5226100'!H13)</f>
        <v>59226.2</v>
      </c>
      <c r="K156" s="219">
        <f>SUM('5226100'!I13)</f>
        <v>0</v>
      </c>
      <c r="L156" s="219">
        <f>'5226100'!J10</f>
        <v>10000</v>
      </c>
      <c r="M156" s="219">
        <f>SUM('5226100'!L13)</f>
        <v>0</v>
      </c>
      <c r="N156" s="219">
        <f>SUM(P156+Q156)</f>
        <v>0</v>
      </c>
      <c r="O156" s="219"/>
      <c r="P156" s="219">
        <f>SUM('5226100'!N13)</f>
        <v>0</v>
      </c>
      <c r="Q156" s="219">
        <f>SUM('5226100'!O13)</f>
        <v>0</v>
      </c>
      <c r="R156" s="219">
        <f>SUM('5226100'!P13)</f>
        <v>0</v>
      </c>
      <c r="S156" s="219">
        <f>SUM(U156+V156)</f>
        <v>0</v>
      </c>
      <c r="T156" s="219"/>
      <c r="U156" s="219">
        <f>SUM('5226100'!R13)</f>
        <v>0</v>
      </c>
      <c r="V156" s="219">
        <f>SUM('5226100'!S13)</f>
        <v>0</v>
      </c>
      <c r="W156" s="219">
        <f>SUM('5226100'!T13)</f>
        <v>0</v>
      </c>
      <c r="X156" s="219"/>
      <c r="Y156" s="118"/>
    </row>
    <row r="157" spans="2:25" ht="33.75">
      <c r="B157" s="224" t="s">
        <v>230</v>
      </c>
      <c r="C157" s="118" t="s">
        <v>278</v>
      </c>
      <c r="D157" s="217" t="s">
        <v>231</v>
      </c>
      <c r="E157" s="118"/>
      <c r="F157" s="218"/>
      <c r="G157" s="218"/>
      <c r="H157" s="222">
        <f aca="true" t="shared" si="61" ref="H157:Q158">SUM(H158)</f>
        <v>61941</v>
      </c>
      <c r="I157" s="222"/>
      <c r="J157" s="222">
        <f t="shared" si="61"/>
        <v>61651</v>
      </c>
      <c r="K157" s="222">
        <f t="shared" si="61"/>
        <v>290</v>
      </c>
      <c r="L157" s="222"/>
      <c r="M157" s="222">
        <f t="shared" si="61"/>
        <v>13367.6</v>
      </c>
      <c r="N157" s="222">
        <f t="shared" si="61"/>
        <v>1259</v>
      </c>
      <c r="O157" s="222"/>
      <c r="P157" s="222">
        <f t="shared" si="61"/>
        <v>1257</v>
      </c>
      <c r="Q157" s="223">
        <f t="shared" si="61"/>
        <v>2</v>
      </c>
      <c r="R157" s="223"/>
      <c r="S157" s="223">
        <f aca="true" t="shared" si="62" ref="S157:V158">SUM(S158)</f>
        <v>1259</v>
      </c>
      <c r="T157" s="223"/>
      <c r="U157" s="223">
        <f t="shared" si="62"/>
        <v>1257</v>
      </c>
      <c r="V157" s="223">
        <f t="shared" si="62"/>
        <v>2</v>
      </c>
      <c r="W157" s="223"/>
      <c r="X157" s="219">
        <f>SUM(P157/M157)*100</f>
        <v>9.403333433076993</v>
      </c>
      <c r="Y157" s="118">
        <f>(S157/N157)*100</f>
        <v>100</v>
      </c>
    </row>
    <row r="158" spans="2:25" ht="11.25">
      <c r="B158" s="118" t="s">
        <v>279</v>
      </c>
      <c r="C158" s="118" t="s">
        <v>278</v>
      </c>
      <c r="D158" s="217" t="s">
        <v>231</v>
      </c>
      <c r="E158" s="217" t="s">
        <v>271</v>
      </c>
      <c r="F158" s="218"/>
      <c r="G158" s="218"/>
      <c r="H158" s="118">
        <f t="shared" si="61"/>
        <v>61941</v>
      </c>
      <c r="I158" s="118"/>
      <c r="J158" s="118">
        <f t="shared" si="61"/>
        <v>61651</v>
      </c>
      <c r="K158" s="118">
        <f t="shared" si="61"/>
        <v>290</v>
      </c>
      <c r="L158" s="118"/>
      <c r="M158" s="118">
        <f t="shared" si="61"/>
        <v>13367.6</v>
      </c>
      <c r="N158" s="118">
        <f t="shared" si="61"/>
        <v>1259</v>
      </c>
      <c r="O158" s="118"/>
      <c r="P158" s="118">
        <f t="shared" si="61"/>
        <v>1257</v>
      </c>
      <c r="Q158" s="219">
        <f t="shared" si="61"/>
        <v>2</v>
      </c>
      <c r="R158" s="219"/>
      <c r="S158" s="219">
        <f t="shared" si="62"/>
        <v>1259</v>
      </c>
      <c r="T158" s="219"/>
      <c r="U158" s="219">
        <f t="shared" si="62"/>
        <v>1257</v>
      </c>
      <c r="V158" s="219">
        <f t="shared" si="62"/>
        <v>2</v>
      </c>
      <c r="W158" s="219"/>
      <c r="X158" s="219">
        <f>SUM(P158/M158)*100</f>
        <v>9.403333433076993</v>
      </c>
      <c r="Y158" s="118">
        <f>(S158/N158)*100</f>
        <v>100</v>
      </c>
    </row>
    <row r="159" spans="2:25" ht="11.25">
      <c r="B159" s="118" t="s">
        <v>282</v>
      </c>
      <c r="C159" s="118" t="s">
        <v>278</v>
      </c>
      <c r="D159" s="217" t="s">
        <v>231</v>
      </c>
      <c r="E159" s="217" t="s">
        <v>271</v>
      </c>
      <c r="F159" s="217" t="s">
        <v>263</v>
      </c>
      <c r="G159" s="217"/>
      <c r="H159" s="118">
        <f aca="true" t="shared" si="63" ref="H159:Q159">SUM(H161+H163)</f>
        <v>61941</v>
      </c>
      <c r="I159" s="118"/>
      <c r="J159" s="118">
        <f t="shared" si="63"/>
        <v>61651</v>
      </c>
      <c r="K159" s="118">
        <f t="shared" si="63"/>
        <v>290</v>
      </c>
      <c r="L159" s="118"/>
      <c r="M159" s="118">
        <f t="shared" si="63"/>
        <v>13367.6</v>
      </c>
      <c r="N159" s="118">
        <f t="shared" si="63"/>
        <v>1259</v>
      </c>
      <c r="O159" s="118"/>
      <c r="P159" s="118">
        <f t="shared" si="63"/>
        <v>1257</v>
      </c>
      <c r="Q159" s="219">
        <f t="shared" si="63"/>
        <v>2</v>
      </c>
      <c r="R159" s="219"/>
      <c r="S159" s="219">
        <f>SUM(S161+S163)</f>
        <v>1259</v>
      </c>
      <c r="T159" s="219"/>
      <c r="U159" s="219">
        <f>SUM(U161+U163)</f>
        <v>1257</v>
      </c>
      <c r="V159" s="219">
        <f>SUM(V161+V163)</f>
        <v>2</v>
      </c>
      <c r="W159" s="219"/>
      <c r="X159" s="219"/>
      <c r="Y159" s="118"/>
    </row>
    <row r="160" spans="2:25" ht="11.25">
      <c r="B160" s="225" t="s">
        <v>257</v>
      </c>
      <c r="C160" s="118" t="s">
        <v>278</v>
      </c>
      <c r="D160" s="217" t="s">
        <v>231</v>
      </c>
      <c r="E160" s="217" t="s">
        <v>271</v>
      </c>
      <c r="F160" s="217" t="s">
        <v>263</v>
      </c>
      <c r="G160" s="217" t="s">
        <v>258</v>
      </c>
      <c r="H160" s="118">
        <f aca="true" t="shared" si="64" ref="H160:Q160">SUM(H161)</f>
        <v>32937.6</v>
      </c>
      <c r="I160" s="118"/>
      <c r="J160" s="118">
        <f t="shared" si="64"/>
        <v>32937.6</v>
      </c>
      <c r="K160" s="118">
        <f t="shared" si="64"/>
        <v>0</v>
      </c>
      <c r="L160" s="118"/>
      <c r="M160" s="118">
        <f t="shared" si="64"/>
        <v>13165.4</v>
      </c>
      <c r="N160" s="118">
        <f t="shared" si="64"/>
        <v>1054.8</v>
      </c>
      <c r="O160" s="118"/>
      <c r="P160" s="118">
        <f t="shared" si="64"/>
        <v>1054.8</v>
      </c>
      <c r="Q160" s="219">
        <f t="shared" si="64"/>
        <v>0</v>
      </c>
      <c r="R160" s="219"/>
      <c r="S160" s="219">
        <f>SUM(S161)</f>
        <v>1054.8</v>
      </c>
      <c r="T160" s="219"/>
      <c r="U160" s="219">
        <f>SUM(U161)</f>
        <v>1054.8</v>
      </c>
      <c r="V160" s="219">
        <f>SUM(V161)</f>
        <v>0</v>
      </c>
      <c r="W160" s="219"/>
      <c r="X160" s="219">
        <f>SUM(P160/M160)*100</f>
        <v>8.011910006532274</v>
      </c>
      <c r="Y160" s="118">
        <f>(S160/N160)*100</f>
        <v>100</v>
      </c>
    </row>
    <row r="161" spans="2:25" ht="22.5">
      <c r="B161" s="216" t="s">
        <v>329</v>
      </c>
      <c r="C161" s="118" t="s">
        <v>278</v>
      </c>
      <c r="D161" s="217" t="s">
        <v>231</v>
      </c>
      <c r="E161" s="217" t="s">
        <v>271</v>
      </c>
      <c r="F161" s="217" t="s">
        <v>263</v>
      </c>
      <c r="G161" s="217" t="s">
        <v>258</v>
      </c>
      <c r="H161" s="118">
        <f>SUM(J161+K161)</f>
        <v>32937.6</v>
      </c>
      <c r="I161" s="118"/>
      <c r="J161" s="118">
        <f>SUM('5226100'!H22)</f>
        <v>32937.6</v>
      </c>
      <c r="K161" s="118">
        <f>SUM('5226100'!I22)</f>
        <v>0</v>
      </c>
      <c r="L161" s="118"/>
      <c r="M161" s="118">
        <f>SUM('5226100'!L22)</f>
        <v>13165.4</v>
      </c>
      <c r="N161" s="118">
        <f>SUM(P161+Q161)</f>
        <v>1054.8</v>
      </c>
      <c r="O161" s="118"/>
      <c r="P161" s="118">
        <f>SUM('5226100'!N22)</f>
        <v>1054.8</v>
      </c>
      <c r="Q161" s="219">
        <f>SUM('5226100'!O22)</f>
        <v>0</v>
      </c>
      <c r="R161" s="219"/>
      <c r="S161" s="219">
        <f>SUM(U161+V161)</f>
        <v>1054.8</v>
      </c>
      <c r="T161" s="219"/>
      <c r="U161" s="219">
        <f>SUM('5226100'!R22)</f>
        <v>1054.8</v>
      </c>
      <c r="V161" s="219">
        <f>SUM('5226100'!S22)</f>
        <v>0</v>
      </c>
      <c r="W161" s="219"/>
      <c r="X161" s="219"/>
      <c r="Y161" s="118"/>
    </row>
    <row r="162" spans="2:25" ht="11.25">
      <c r="B162" s="216" t="s">
        <v>240</v>
      </c>
      <c r="C162" s="118" t="s">
        <v>278</v>
      </c>
      <c r="D162" s="217" t="s">
        <v>231</v>
      </c>
      <c r="E162" s="217" t="s">
        <v>271</v>
      </c>
      <c r="F162" s="217" t="s">
        <v>263</v>
      </c>
      <c r="G162" s="217" t="s">
        <v>241</v>
      </c>
      <c r="H162" s="118">
        <f aca="true" t="shared" si="65" ref="H162:Q162">SUM(H163)</f>
        <v>29003.4</v>
      </c>
      <c r="I162" s="118"/>
      <c r="J162" s="118">
        <f t="shared" si="65"/>
        <v>28713.4</v>
      </c>
      <c r="K162" s="118">
        <f t="shared" si="65"/>
        <v>290</v>
      </c>
      <c r="L162" s="118"/>
      <c r="M162" s="118">
        <f t="shared" si="65"/>
        <v>202.2</v>
      </c>
      <c r="N162" s="118">
        <f t="shared" si="65"/>
        <v>204.2</v>
      </c>
      <c r="O162" s="118"/>
      <c r="P162" s="118">
        <f t="shared" si="65"/>
        <v>202.2</v>
      </c>
      <c r="Q162" s="219">
        <f t="shared" si="65"/>
        <v>2</v>
      </c>
      <c r="R162" s="219"/>
      <c r="S162" s="219">
        <f>SUM(S163)</f>
        <v>204.2</v>
      </c>
      <c r="T162" s="219"/>
      <c r="U162" s="219">
        <f>SUM(U163)</f>
        <v>202.2</v>
      </c>
      <c r="V162" s="219">
        <f>SUM(V163)</f>
        <v>2</v>
      </c>
      <c r="W162" s="219"/>
      <c r="X162" s="219">
        <f>SUM(P162/M162)*100</f>
        <v>100</v>
      </c>
      <c r="Y162" s="118">
        <f>(S162/N162)*100</f>
        <v>100</v>
      </c>
    </row>
    <row r="163" spans="2:25" ht="11.25">
      <c r="B163" s="216" t="s">
        <v>242</v>
      </c>
      <c r="C163" s="118" t="s">
        <v>278</v>
      </c>
      <c r="D163" s="217" t="s">
        <v>231</v>
      </c>
      <c r="E163" s="217" t="s">
        <v>271</v>
      </c>
      <c r="F163" s="217" t="s">
        <v>263</v>
      </c>
      <c r="G163" s="217" t="s">
        <v>241</v>
      </c>
      <c r="H163" s="118">
        <f>SUM(J163+K163)</f>
        <v>29003.4</v>
      </c>
      <c r="I163" s="118"/>
      <c r="J163" s="118">
        <f>SUM('5226100'!H29)</f>
        <v>28713.4</v>
      </c>
      <c r="K163" s="118">
        <f>SUM('5226100'!I29)</f>
        <v>290</v>
      </c>
      <c r="L163" s="118"/>
      <c r="M163" s="118">
        <f>SUM('5226100'!L29)</f>
        <v>202.2</v>
      </c>
      <c r="N163" s="118">
        <f>SUM(P163+Q163)</f>
        <v>204.2</v>
      </c>
      <c r="O163" s="118"/>
      <c r="P163" s="118">
        <f>SUM('5226100'!N29)</f>
        <v>202.2</v>
      </c>
      <c r="Q163" s="219">
        <f>SUM('5226100'!O29)</f>
        <v>2</v>
      </c>
      <c r="R163" s="219"/>
      <c r="S163" s="219">
        <f>SUM(U163+V163)</f>
        <v>204.2</v>
      </c>
      <c r="T163" s="219"/>
      <c r="U163" s="219">
        <f>SUM('5226100'!R29)</f>
        <v>202.2</v>
      </c>
      <c r="V163" s="219">
        <f>SUM('5226100'!S29)</f>
        <v>2</v>
      </c>
      <c r="W163" s="219"/>
      <c r="X163" s="219"/>
      <c r="Y163" s="118"/>
    </row>
    <row r="164" spans="2:25" ht="22.5">
      <c r="B164" s="224" t="s">
        <v>337</v>
      </c>
      <c r="C164" s="118" t="s">
        <v>278</v>
      </c>
      <c r="D164" s="217" t="s">
        <v>281</v>
      </c>
      <c r="E164" s="118"/>
      <c r="F164" s="218"/>
      <c r="G164" s="218"/>
      <c r="H164" s="222">
        <f>J164+K164+L164</f>
        <v>352915</v>
      </c>
      <c r="I164" s="222"/>
      <c r="J164" s="222">
        <f>SUM(J166+J171)</f>
        <v>351928</v>
      </c>
      <c r="K164" s="222">
        <f>SUM(K166+K171)</f>
        <v>536.9999999999999</v>
      </c>
      <c r="L164" s="222">
        <f>L165</f>
        <v>450</v>
      </c>
      <c r="M164" s="222">
        <f>SUM(M166+M171)</f>
        <v>36193.7</v>
      </c>
      <c r="N164" s="222">
        <f>P164+Q164+R164</f>
        <v>31079.000000000004</v>
      </c>
      <c r="O164" s="222"/>
      <c r="P164" s="222">
        <f>SUM(P166+P171)</f>
        <v>30967.500000000004</v>
      </c>
      <c r="Q164" s="222">
        <f>SUM(Q166+Q171)</f>
        <v>111.5</v>
      </c>
      <c r="R164" s="222">
        <f>R165</f>
        <v>0</v>
      </c>
      <c r="S164" s="222">
        <f>U164+V164+W164</f>
        <v>31079.000000000004</v>
      </c>
      <c r="T164" s="222"/>
      <c r="U164" s="222">
        <f>SUM(U166+U171)</f>
        <v>30967.500000000004</v>
      </c>
      <c r="V164" s="222">
        <f>SUM(V166+V171)</f>
        <v>111.5</v>
      </c>
      <c r="W164" s="222">
        <f>W165</f>
        <v>0</v>
      </c>
      <c r="X164" s="219">
        <f>SUM(P164/M164)*100</f>
        <v>85.5604704686175</v>
      </c>
      <c r="Y164" s="118">
        <f>(S164/N164)*100</f>
        <v>100</v>
      </c>
    </row>
    <row r="165" spans="2:25" ht="11.25">
      <c r="B165" s="118" t="s">
        <v>279</v>
      </c>
      <c r="C165" s="118" t="s">
        <v>278</v>
      </c>
      <c r="D165" s="217" t="s">
        <v>281</v>
      </c>
      <c r="E165" s="217" t="s">
        <v>271</v>
      </c>
      <c r="F165" s="217"/>
      <c r="G165" s="217"/>
      <c r="H165" s="118">
        <f>J165+K165+L165</f>
        <v>352915</v>
      </c>
      <c r="I165" s="118"/>
      <c r="J165" s="118">
        <f>J166+J171</f>
        <v>351928</v>
      </c>
      <c r="K165" s="118">
        <f>K166+K171</f>
        <v>536.9999999999999</v>
      </c>
      <c r="L165" s="118">
        <f>L166+L171</f>
        <v>450</v>
      </c>
      <c r="M165" s="118">
        <f>M166+M171</f>
        <v>36193.7</v>
      </c>
      <c r="N165" s="118">
        <f>P165+Q165</f>
        <v>31079.000000000004</v>
      </c>
      <c r="O165" s="118"/>
      <c r="P165" s="118">
        <f>P166+P171</f>
        <v>30967.500000000004</v>
      </c>
      <c r="Q165" s="219">
        <f>Q166+Q171</f>
        <v>111.5</v>
      </c>
      <c r="R165" s="219"/>
      <c r="S165" s="219">
        <f>U165+V165</f>
        <v>31079.000000000004</v>
      </c>
      <c r="T165" s="219"/>
      <c r="U165" s="219">
        <f>U166+U171</f>
        <v>30967.500000000004</v>
      </c>
      <c r="V165" s="219">
        <f>V166+V171</f>
        <v>111.5</v>
      </c>
      <c r="W165" s="219"/>
      <c r="X165" s="219">
        <f>SUM(P165/M165)*100</f>
        <v>85.5604704686175</v>
      </c>
      <c r="Y165" s="118">
        <f>(S165/N165)*100</f>
        <v>100</v>
      </c>
    </row>
    <row r="166" spans="2:25" ht="11.25">
      <c r="B166" s="118" t="s">
        <v>282</v>
      </c>
      <c r="C166" s="118" t="s">
        <v>278</v>
      </c>
      <c r="D166" s="217" t="s">
        <v>281</v>
      </c>
      <c r="E166" s="217" t="s">
        <v>271</v>
      </c>
      <c r="F166" s="217" t="s">
        <v>263</v>
      </c>
      <c r="G166" s="218"/>
      <c r="H166" s="118">
        <f>SUM(J166+K166)</f>
        <v>199281.4</v>
      </c>
      <c r="I166" s="118"/>
      <c r="J166" s="118">
        <f>J167+J168+J170</f>
        <v>198744.4</v>
      </c>
      <c r="K166" s="118">
        <f>SUM(K167+K168)</f>
        <v>536.9999999999999</v>
      </c>
      <c r="L166" s="118"/>
      <c r="M166" s="118">
        <f>M167+M168+M170</f>
        <v>15203.8</v>
      </c>
      <c r="N166" s="118">
        <f>N167+N168+N170</f>
        <v>11152.2</v>
      </c>
      <c r="O166" s="118"/>
      <c r="P166" s="118">
        <f>P167+P168+P170</f>
        <v>11040.7</v>
      </c>
      <c r="Q166" s="219">
        <f>SUM(Q167+Q168)</f>
        <v>111.5</v>
      </c>
      <c r="R166" s="219"/>
      <c r="S166" s="219">
        <f>U166+V166</f>
        <v>11152.2</v>
      </c>
      <c r="T166" s="219"/>
      <c r="U166" s="118">
        <f>U167+U168+U170</f>
        <v>11040.7</v>
      </c>
      <c r="V166" s="219">
        <f>SUM(V167+V168)</f>
        <v>111.5</v>
      </c>
      <c r="W166" s="219"/>
      <c r="X166" s="219">
        <f>SUM(P166/M166)*100</f>
        <v>72.61802970310055</v>
      </c>
      <c r="Y166" s="118">
        <f>(S166/N166)*100</f>
        <v>100</v>
      </c>
    </row>
    <row r="167" spans="2:25" ht="11.25">
      <c r="B167" s="225" t="s">
        <v>257</v>
      </c>
      <c r="C167" s="118" t="s">
        <v>278</v>
      </c>
      <c r="D167" s="217" t="s">
        <v>281</v>
      </c>
      <c r="E167" s="217" t="s">
        <v>271</v>
      </c>
      <c r="F167" s="217" t="s">
        <v>263</v>
      </c>
      <c r="G167" s="217" t="s">
        <v>258</v>
      </c>
      <c r="H167" s="118">
        <f>SUM(J167+K167)</f>
        <v>3199.5</v>
      </c>
      <c r="I167" s="118"/>
      <c r="J167" s="118">
        <f>'5226100'!H36</f>
        <v>3199.5</v>
      </c>
      <c r="K167" s="118">
        <v>0</v>
      </c>
      <c r="L167" s="118"/>
      <c r="M167" s="118">
        <f>'5226100'!L36</f>
        <v>3199.5</v>
      </c>
      <c r="N167" s="118">
        <f>P167</f>
        <v>0</v>
      </c>
      <c r="O167" s="118"/>
      <c r="P167" s="118">
        <f>'5226100'!N36</f>
        <v>0</v>
      </c>
      <c r="Q167" s="219">
        <v>0</v>
      </c>
      <c r="R167" s="219"/>
      <c r="S167" s="219">
        <f>U167</f>
        <v>0</v>
      </c>
      <c r="T167" s="219"/>
      <c r="U167" s="219">
        <f>'5226100'!R36</f>
        <v>0</v>
      </c>
      <c r="V167" s="219">
        <v>0</v>
      </c>
      <c r="W167" s="219"/>
      <c r="X167" s="219">
        <f>SUM(P167/M167)*100</f>
        <v>0</v>
      </c>
      <c r="Y167" s="118">
        <v>0</v>
      </c>
    </row>
    <row r="168" spans="2:25" ht="11.25">
      <c r="B168" s="216" t="s">
        <v>240</v>
      </c>
      <c r="C168" s="118" t="s">
        <v>278</v>
      </c>
      <c r="D168" s="217" t="s">
        <v>281</v>
      </c>
      <c r="E168" s="217" t="s">
        <v>271</v>
      </c>
      <c r="F168" s="217" t="s">
        <v>263</v>
      </c>
      <c r="G168" s="217" t="s">
        <v>241</v>
      </c>
      <c r="H168" s="118">
        <f>SUM(J168+K168)</f>
        <v>53700.4</v>
      </c>
      <c r="I168" s="118"/>
      <c r="J168" s="118">
        <f aca="true" t="shared" si="66" ref="J168:Q168">SUM(J169)</f>
        <v>53163.4</v>
      </c>
      <c r="K168" s="118">
        <f t="shared" si="66"/>
        <v>536.9999999999999</v>
      </c>
      <c r="L168" s="118"/>
      <c r="M168" s="118">
        <f t="shared" si="66"/>
        <v>12004.3</v>
      </c>
      <c r="N168" s="118">
        <f t="shared" si="66"/>
        <v>11152.2</v>
      </c>
      <c r="O168" s="118"/>
      <c r="P168" s="118">
        <f t="shared" si="66"/>
        <v>11040.7</v>
      </c>
      <c r="Q168" s="219">
        <f t="shared" si="66"/>
        <v>111.5</v>
      </c>
      <c r="R168" s="219"/>
      <c r="S168" s="219">
        <f>SUM(S169)</f>
        <v>11152.2</v>
      </c>
      <c r="T168" s="219"/>
      <c r="U168" s="219">
        <f>SUM(U169)</f>
        <v>11040.7</v>
      </c>
      <c r="V168" s="219">
        <f>SUM(V169)</f>
        <v>111.5</v>
      </c>
      <c r="W168" s="219"/>
      <c r="X168" s="219">
        <f>SUM(P168/M168)*100</f>
        <v>91.97287638596171</v>
      </c>
      <c r="Y168" s="118">
        <f>(S168/N168)*100</f>
        <v>100</v>
      </c>
    </row>
    <row r="169" spans="2:25" ht="11.25">
      <c r="B169" s="216" t="s">
        <v>242</v>
      </c>
      <c r="C169" s="118" t="s">
        <v>278</v>
      </c>
      <c r="D169" s="217" t="s">
        <v>281</v>
      </c>
      <c r="E169" s="217" t="s">
        <v>271</v>
      </c>
      <c r="F169" s="217" t="s">
        <v>263</v>
      </c>
      <c r="G169" s="217" t="s">
        <v>241</v>
      </c>
      <c r="H169" s="118">
        <f>SUM(J169+K169)</f>
        <v>53700.4</v>
      </c>
      <c r="I169" s="118"/>
      <c r="J169" s="118">
        <f>SUM('5226100'!H39)</f>
        <v>53163.4</v>
      </c>
      <c r="K169" s="118">
        <f>SUM('5226100'!I39)</f>
        <v>536.9999999999999</v>
      </c>
      <c r="L169" s="118"/>
      <c r="M169" s="118">
        <f>SUM('5226100'!L39)</f>
        <v>12004.3</v>
      </c>
      <c r="N169" s="118">
        <f>SUM(P169+Q169)</f>
        <v>11152.2</v>
      </c>
      <c r="O169" s="118"/>
      <c r="P169" s="118">
        <f>SUM('5226100'!N39)</f>
        <v>11040.7</v>
      </c>
      <c r="Q169" s="219">
        <f>SUM('5226100'!O39)</f>
        <v>111.5</v>
      </c>
      <c r="R169" s="219"/>
      <c r="S169" s="219">
        <f>SUM(U169+V169)</f>
        <v>11152.2</v>
      </c>
      <c r="T169" s="219"/>
      <c r="U169" s="219">
        <f>SUM('5226100'!R39)</f>
        <v>11040.7</v>
      </c>
      <c r="V169" s="219">
        <f>SUM('5226100'!S39)</f>
        <v>111.5</v>
      </c>
      <c r="W169" s="219"/>
      <c r="X169" s="219"/>
      <c r="Y169" s="118"/>
    </row>
    <row r="170" spans="2:25" ht="22.5">
      <c r="B170" s="216" t="s">
        <v>444</v>
      </c>
      <c r="C170" s="118" t="s">
        <v>278</v>
      </c>
      <c r="D170" s="217" t="s">
        <v>281</v>
      </c>
      <c r="E170" s="217" t="s">
        <v>271</v>
      </c>
      <c r="F170" s="217" t="s">
        <v>263</v>
      </c>
      <c r="G170" s="217" t="s">
        <v>400</v>
      </c>
      <c r="H170" s="118">
        <f>J170</f>
        <v>142381.5</v>
      </c>
      <c r="I170" s="118"/>
      <c r="J170" s="118">
        <f>'5226100'!H58</f>
        <v>142381.5</v>
      </c>
      <c r="K170" s="118">
        <v>0</v>
      </c>
      <c r="L170" s="118"/>
      <c r="M170" s="118">
        <f>'5226100'!L58</f>
        <v>0</v>
      </c>
      <c r="N170" s="118">
        <f>P170</f>
        <v>0</v>
      </c>
      <c r="O170" s="118"/>
      <c r="P170" s="118">
        <f>'5226100'!N58</f>
        <v>0</v>
      </c>
      <c r="Q170" s="219">
        <v>0</v>
      </c>
      <c r="R170" s="219"/>
      <c r="S170" s="219">
        <f>U170</f>
        <v>0</v>
      </c>
      <c r="T170" s="219"/>
      <c r="U170" s="219">
        <f>'5226100'!R58</f>
        <v>0</v>
      </c>
      <c r="V170" s="219">
        <v>0</v>
      </c>
      <c r="W170" s="219"/>
      <c r="X170" s="219"/>
      <c r="Y170" s="118"/>
    </row>
    <row r="171" spans="2:25" ht="11.25">
      <c r="B171" s="439" t="s">
        <v>280</v>
      </c>
      <c r="C171" s="118" t="s">
        <v>278</v>
      </c>
      <c r="D171" s="217" t="s">
        <v>281</v>
      </c>
      <c r="E171" s="217" t="s">
        <v>271</v>
      </c>
      <c r="F171" s="217" t="s">
        <v>269</v>
      </c>
      <c r="G171" s="217"/>
      <c r="H171" s="118">
        <f>K171+J171+L171</f>
        <v>153633.6</v>
      </c>
      <c r="I171" s="118"/>
      <c r="J171" s="118">
        <f aca="true" t="shared" si="67" ref="J171:V171">J172+J173</f>
        <v>153183.6</v>
      </c>
      <c r="K171" s="118">
        <f t="shared" si="67"/>
        <v>0</v>
      </c>
      <c r="L171" s="118">
        <f>L172</f>
        <v>450</v>
      </c>
      <c r="M171" s="118">
        <f t="shared" si="67"/>
        <v>20989.9</v>
      </c>
      <c r="N171" s="118">
        <f t="shared" si="67"/>
        <v>19926.800000000003</v>
      </c>
      <c r="O171" s="118"/>
      <c r="P171" s="118">
        <f t="shared" si="67"/>
        <v>19926.800000000003</v>
      </c>
      <c r="Q171" s="219">
        <f t="shared" si="67"/>
        <v>0</v>
      </c>
      <c r="R171" s="219"/>
      <c r="S171" s="219">
        <f t="shared" si="67"/>
        <v>19926.800000000003</v>
      </c>
      <c r="T171" s="219"/>
      <c r="U171" s="219">
        <f t="shared" si="67"/>
        <v>19926.800000000003</v>
      </c>
      <c r="V171" s="219">
        <f t="shared" si="67"/>
        <v>0</v>
      </c>
      <c r="W171" s="219"/>
      <c r="X171" s="219">
        <f>SUM(P171/M171)*100</f>
        <v>94.93518311187763</v>
      </c>
      <c r="Y171" s="118">
        <f>(U171/P171)*100</f>
        <v>100</v>
      </c>
    </row>
    <row r="172" spans="2:25" ht="11.25">
      <c r="B172" s="118" t="s">
        <v>324</v>
      </c>
      <c r="C172" s="118" t="s">
        <v>278</v>
      </c>
      <c r="D172" s="217" t="s">
        <v>281</v>
      </c>
      <c r="E172" s="217" t="s">
        <v>271</v>
      </c>
      <c r="F172" s="217" t="s">
        <v>269</v>
      </c>
      <c r="G172" s="217" t="s">
        <v>276</v>
      </c>
      <c r="H172" s="118">
        <f>K172+J172</f>
        <v>147542.6</v>
      </c>
      <c r="I172" s="118"/>
      <c r="J172" s="118">
        <f>'5226100'!H60</f>
        <v>147542.6</v>
      </c>
      <c r="K172" s="118">
        <f>'5226100'!I61</f>
        <v>0</v>
      </c>
      <c r="L172" s="118">
        <f>'5226100'!J61</f>
        <v>450</v>
      </c>
      <c r="M172" s="118">
        <f>'5226100'!L60</f>
        <v>20260</v>
      </c>
      <c r="N172" s="118">
        <f>SUM(P172+Q172)</f>
        <v>19386.9</v>
      </c>
      <c r="O172" s="118"/>
      <c r="P172" s="118">
        <f>'5226100'!N60</f>
        <v>19386.9</v>
      </c>
      <c r="Q172" s="219">
        <v>0</v>
      </c>
      <c r="R172" s="219"/>
      <c r="S172" s="219">
        <f>SUM(U172+V172)</f>
        <v>19386.9</v>
      </c>
      <c r="T172" s="219"/>
      <c r="U172" s="219">
        <f>'5226100'!R60</f>
        <v>19386.9</v>
      </c>
      <c r="V172" s="219">
        <v>0</v>
      </c>
      <c r="W172" s="219"/>
      <c r="X172" s="219">
        <f>SUM(P172/M172)*100</f>
        <v>95.69052319842054</v>
      </c>
      <c r="Y172" s="118">
        <f>(U172/P172)*100</f>
        <v>100</v>
      </c>
    </row>
    <row r="173" spans="2:25" ht="11.25">
      <c r="B173" s="118" t="s">
        <v>248</v>
      </c>
      <c r="C173" s="118" t="s">
        <v>278</v>
      </c>
      <c r="D173" s="217" t="s">
        <v>281</v>
      </c>
      <c r="E173" s="217" t="s">
        <v>271</v>
      </c>
      <c r="F173" s="217" t="s">
        <v>269</v>
      </c>
      <c r="G173" s="217" t="s">
        <v>249</v>
      </c>
      <c r="H173" s="118">
        <f>SUM(J173+K173)</f>
        <v>5641</v>
      </c>
      <c r="I173" s="118"/>
      <c r="J173" s="118">
        <f>SUM('5226100'!H65)</f>
        <v>5641</v>
      </c>
      <c r="K173" s="118">
        <f>SUM('5226100'!I65)</f>
        <v>0</v>
      </c>
      <c r="L173" s="118">
        <v>0</v>
      </c>
      <c r="M173" s="118">
        <f>SUM('5226100'!L65)</f>
        <v>729.9</v>
      </c>
      <c r="N173" s="118">
        <f>SUM(P173+Q173)</f>
        <v>539.9</v>
      </c>
      <c r="O173" s="118"/>
      <c r="P173" s="118">
        <f>SUM('5226100'!N65)</f>
        <v>539.9</v>
      </c>
      <c r="Q173" s="219">
        <f>SUM('5226100'!O65)</f>
        <v>0</v>
      </c>
      <c r="R173" s="219"/>
      <c r="S173" s="219">
        <f>SUM(U173+V173)</f>
        <v>539.9</v>
      </c>
      <c r="T173" s="219"/>
      <c r="U173" s="219">
        <f>SUM('5226100'!R65)</f>
        <v>539.9</v>
      </c>
      <c r="V173" s="219">
        <f>SUM('5226100'!S65)</f>
        <v>0</v>
      </c>
      <c r="W173" s="219"/>
      <c r="X173" s="219">
        <f>SUM(P173/M173)*100</f>
        <v>73.96903685436361</v>
      </c>
      <c r="Y173" s="118">
        <f>(S173/N173)*100</f>
        <v>100</v>
      </c>
    </row>
    <row r="174" spans="2:25" ht="53.25">
      <c r="B174" s="212" t="s">
        <v>445</v>
      </c>
      <c r="C174" s="271" t="s">
        <v>446</v>
      </c>
      <c r="D174" s="272"/>
      <c r="E174" s="214"/>
      <c r="F174" s="272"/>
      <c r="G174" s="272"/>
      <c r="H174" s="214">
        <f>H175</f>
        <v>25653.6</v>
      </c>
      <c r="I174" s="214"/>
      <c r="J174" s="214">
        <f>J175</f>
        <v>25653.6</v>
      </c>
      <c r="K174" s="214">
        <f aca="true" t="shared" si="68" ref="K174:V174">K175</f>
        <v>0</v>
      </c>
      <c r="L174" s="214"/>
      <c r="M174" s="214">
        <f t="shared" si="68"/>
        <v>8730</v>
      </c>
      <c r="N174" s="214">
        <f t="shared" si="68"/>
        <v>0</v>
      </c>
      <c r="O174" s="214"/>
      <c r="P174" s="214">
        <f t="shared" si="68"/>
        <v>0</v>
      </c>
      <c r="Q174" s="214">
        <f t="shared" si="68"/>
        <v>0</v>
      </c>
      <c r="R174" s="214"/>
      <c r="S174" s="214">
        <f t="shared" si="68"/>
        <v>0</v>
      </c>
      <c r="T174" s="214"/>
      <c r="U174" s="214">
        <f t="shared" si="68"/>
        <v>0</v>
      </c>
      <c r="V174" s="214">
        <f t="shared" si="68"/>
        <v>0</v>
      </c>
      <c r="W174" s="214"/>
      <c r="X174" s="219">
        <f>SUM(P174/M174)*100</f>
        <v>0</v>
      </c>
      <c r="Y174" s="118">
        <v>0</v>
      </c>
    </row>
    <row r="175" spans="2:25" ht="33.75">
      <c r="B175" s="224" t="s">
        <v>230</v>
      </c>
      <c r="C175" s="118" t="s">
        <v>446</v>
      </c>
      <c r="D175" s="269" t="s">
        <v>231</v>
      </c>
      <c r="E175" s="118"/>
      <c r="F175" s="218"/>
      <c r="G175" s="218"/>
      <c r="H175" s="223">
        <f>H176</f>
        <v>25653.6</v>
      </c>
      <c r="I175" s="223"/>
      <c r="J175" s="223">
        <f aca="true" t="shared" si="69" ref="J175:V177">J176</f>
        <v>25653.6</v>
      </c>
      <c r="K175" s="223">
        <f t="shared" si="69"/>
        <v>0</v>
      </c>
      <c r="L175" s="223"/>
      <c r="M175" s="223">
        <f t="shared" si="69"/>
        <v>8730</v>
      </c>
      <c r="N175" s="223">
        <f t="shared" si="69"/>
        <v>0</v>
      </c>
      <c r="O175" s="223"/>
      <c r="P175" s="223">
        <f t="shared" si="69"/>
        <v>0</v>
      </c>
      <c r="Q175" s="223">
        <f t="shared" si="69"/>
        <v>0</v>
      </c>
      <c r="R175" s="223"/>
      <c r="S175" s="223">
        <f t="shared" si="69"/>
        <v>0</v>
      </c>
      <c r="T175" s="223"/>
      <c r="U175" s="223">
        <f t="shared" si="69"/>
        <v>0</v>
      </c>
      <c r="V175" s="223">
        <f t="shared" si="69"/>
        <v>0</v>
      </c>
      <c r="W175" s="223"/>
      <c r="X175" s="219">
        <f>SUM(P175/M175)*100</f>
        <v>0</v>
      </c>
      <c r="Y175" s="118">
        <v>0</v>
      </c>
    </row>
    <row r="176" spans="2:25" ht="11.25">
      <c r="B176" s="118" t="s">
        <v>264</v>
      </c>
      <c r="C176" s="118" t="s">
        <v>446</v>
      </c>
      <c r="D176" s="269" t="s">
        <v>231</v>
      </c>
      <c r="E176" s="217" t="s">
        <v>263</v>
      </c>
      <c r="F176" s="218"/>
      <c r="G176" s="218"/>
      <c r="H176" s="219">
        <f>H177</f>
        <v>25653.6</v>
      </c>
      <c r="I176" s="219"/>
      <c r="J176" s="219">
        <f t="shared" si="69"/>
        <v>25653.6</v>
      </c>
      <c r="K176" s="219">
        <f t="shared" si="69"/>
        <v>0</v>
      </c>
      <c r="L176" s="219"/>
      <c r="M176" s="219">
        <f t="shared" si="69"/>
        <v>8730</v>
      </c>
      <c r="N176" s="219">
        <f t="shared" si="69"/>
        <v>0</v>
      </c>
      <c r="O176" s="219"/>
      <c r="P176" s="219">
        <f t="shared" si="69"/>
        <v>0</v>
      </c>
      <c r="Q176" s="219">
        <f t="shared" si="69"/>
        <v>0</v>
      </c>
      <c r="R176" s="219"/>
      <c r="S176" s="219">
        <f t="shared" si="69"/>
        <v>0</v>
      </c>
      <c r="T176" s="219"/>
      <c r="U176" s="219">
        <f t="shared" si="69"/>
        <v>0</v>
      </c>
      <c r="V176" s="219">
        <f t="shared" si="69"/>
        <v>0</v>
      </c>
      <c r="W176" s="219"/>
      <c r="X176" s="219"/>
      <c r="Y176" s="118"/>
    </row>
    <row r="177" spans="2:25" ht="11.25">
      <c r="B177" s="118" t="s">
        <v>265</v>
      </c>
      <c r="C177" s="118" t="s">
        <v>446</v>
      </c>
      <c r="D177" s="269" t="s">
        <v>231</v>
      </c>
      <c r="E177" s="217" t="s">
        <v>263</v>
      </c>
      <c r="F177" s="217" t="s">
        <v>256</v>
      </c>
      <c r="G177" s="218"/>
      <c r="H177" s="219">
        <f>H178</f>
        <v>25653.6</v>
      </c>
      <c r="I177" s="219"/>
      <c r="J177" s="219">
        <f t="shared" si="69"/>
        <v>25653.6</v>
      </c>
      <c r="K177" s="219">
        <f t="shared" si="69"/>
        <v>0</v>
      </c>
      <c r="L177" s="219"/>
      <c r="M177" s="219">
        <f t="shared" si="69"/>
        <v>8730</v>
      </c>
      <c r="N177" s="219">
        <f t="shared" si="69"/>
        <v>0</v>
      </c>
      <c r="O177" s="219"/>
      <c r="P177" s="219">
        <f t="shared" si="69"/>
        <v>0</v>
      </c>
      <c r="Q177" s="219">
        <f t="shared" si="69"/>
        <v>0</v>
      </c>
      <c r="R177" s="219"/>
      <c r="S177" s="219">
        <f t="shared" si="69"/>
        <v>0</v>
      </c>
      <c r="T177" s="219"/>
      <c r="U177" s="219">
        <f t="shared" si="69"/>
        <v>0</v>
      </c>
      <c r="V177" s="219">
        <f t="shared" si="69"/>
        <v>0</v>
      </c>
      <c r="W177" s="219"/>
      <c r="X177" s="219"/>
      <c r="Y177" s="118"/>
    </row>
    <row r="178" spans="2:25" ht="11.25">
      <c r="B178" s="216" t="s">
        <v>299</v>
      </c>
      <c r="C178" s="118" t="s">
        <v>446</v>
      </c>
      <c r="D178" s="269" t="s">
        <v>231</v>
      </c>
      <c r="E178" s="217" t="s">
        <v>263</v>
      </c>
      <c r="F178" s="217" t="s">
        <v>256</v>
      </c>
      <c r="G178" s="217" t="s">
        <v>241</v>
      </c>
      <c r="H178" s="118">
        <f>J178+K178</f>
        <v>25653.6</v>
      </c>
      <c r="I178" s="118"/>
      <c r="J178" s="219">
        <f>J179+J180</f>
        <v>25653.6</v>
      </c>
      <c r="K178" s="219">
        <f>K179+K180</f>
        <v>0</v>
      </c>
      <c r="L178" s="219"/>
      <c r="M178" s="219">
        <f aca="true" t="shared" si="70" ref="M178:V178">M179+M180</f>
        <v>8730</v>
      </c>
      <c r="N178" s="219">
        <f>P178+Q178</f>
        <v>0</v>
      </c>
      <c r="O178" s="219"/>
      <c r="P178" s="219">
        <f t="shared" si="70"/>
        <v>0</v>
      </c>
      <c r="Q178" s="219">
        <f t="shared" si="70"/>
        <v>0</v>
      </c>
      <c r="R178" s="219"/>
      <c r="S178" s="219">
        <f>U178+V178</f>
        <v>0</v>
      </c>
      <c r="T178" s="219"/>
      <c r="U178" s="219">
        <f t="shared" si="70"/>
        <v>0</v>
      </c>
      <c r="V178" s="219">
        <f t="shared" si="70"/>
        <v>0</v>
      </c>
      <c r="W178" s="219"/>
      <c r="X178" s="219">
        <f>SUM(P178/M178)*100</f>
        <v>0</v>
      </c>
      <c r="Y178" s="118">
        <v>0</v>
      </c>
    </row>
    <row r="179" spans="2:25" ht="11.25">
      <c r="B179" s="23" t="s">
        <v>463</v>
      </c>
      <c r="C179" s="118" t="s">
        <v>446</v>
      </c>
      <c r="D179" s="269" t="s">
        <v>231</v>
      </c>
      <c r="E179" s="217" t="s">
        <v>263</v>
      </c>
      <c r="F179" s="217" t="s">
        <v>256</v>
      </c>
      <c r="G179" s="217" t="s">
        <v>241</v>
      </c>
      <c r="H179" s="118">
        <f>J179+K179</f>
        <v>288.1</v>
      </c>
      <c r="I179" s="118"/>
      <c r="J179" s="118">
        <f>'5226600'!H13</f>
        <v>288.1</v>
      </c>
      <c r="K179" s="118">
        <f>'5226600'!I13</f>
        <v>0</v>
      </c>
      <c r="L179" s="118"/>
      <c r="M179" s="118">
        <f>'5226600'!J13</f>
        <v>0</v>
      </c>
      <c r="N179" s="118">
        <f>P179+Q179</f>
        <v>0</v>
      </c>
      <c r="O179" s="118"/>
      <c r="P179" s="118">
        <f>'5226600'!L13</f>
        <v>0</v>
      </c>
      <c r="Q179" s="219">
        <f>'5226600'!M13</f>
        <v>0</v>
      </c>
      <c r="R179" s="219"/>
      <c r="S179" s="118">
        <f>U179+V179</f>
        <v>0</v>
      </c>
      <c r="T179" s="118"/>
      <c r="U179" s="219">
        <f>'5226600'!O13</f>
        <v>0</v>
      </c>
      <c r="V179" s="219">
        <f>'5226600'!P13</f>
        <v>0</v>
      </c>
      <c r="W179" s="270"/>
      <c r="X179" s="219"/>
      <c r="Y179" s="118"/>
    </row>
    <row r="180" spans="2:25" ht="11.25">
      <c r="B180" s="216" t="s">
        <v>242</v>
      </c>
      <c r="C180" s="118" t="s">
        <v>446</v>
      </c>
      <c r="D180" s="269" t="s">
        <v>231</v>
      </c>
      <c r="E180" s="217" t="s">
        <v>263</v>
      </c>
      <c r="F180" s="217" t="s">
        <v>256</v>
      </c>
      <c r="G180" s="217" t="s">
        <v>241</v>
      </c>
      <c r="H180" s="118">
        <f>J180+K180</f>
        <v>25365.5</v>
      </c>
      <c r="I180" s="118"/>
      <c r="J180" s="118">
        <f>'5226600'!H16</f>
        <v>25365.5</v>
      </c>
      <c r="K180" s="118">
        <f>'5226600'!I16</f>
        <v>0</v>
      </c>
      <c r="L180" s="118"/>
      <c r="M180" s="118">
        <f>'5226600'!J16</f>
        <v>8730</v>
      </c>
      <c r="N180" s="118">
        <f>P180+Q180</f>
        <v>0</v>
      </c>
      <c r="O180" s="118"/>
      <c r="P180" s="118">
        <f>'5226600'!L16</f>
        <v>0</v>
      </c>
      <c r="Q180" s="219">
        <f>'5226600'!M16</f>
        <v>0</v>
      </c>
      <c r="R180" s="219"/>
      <c r="S180" s="118">
        <f>U180+V180</f>
        <v>0</v>
      </c>
      <c r="T180" s="118"/>
      <c r="U180" s="219">
        <f>'5226600'!O16</f>
        <v>0</v>
      </c>
      <c r="V180" s="219">
        <f>'5226600'!P16</f>
        <v>0</v>
      </c>
      <c r="W180" s="270"/>
      <c r="X180" s="219"/>
      <c r="Y180" s="118"/>
    </row>
    <row r="181" spans="17:24" ht="11.25">
      <c r="Q181" s="165"/>
      <c r="R181" s="165"/>
      <c r="S181" s="164"/>
      <c r="T181" s="164"/>
      <c r="U181" s="166"/>
      <c r="V181" s="165"/>
      <c r="W181" s="165"/>
      <c r="X181" s="164"/>
    </row>
    <row r="182" spans="17:24" ht="11.25">
      <c r="Q182" s="165"/>
      <c r="R182" s="165"/>
      <c r="S182" s="164"/>
      <c r="T182" s="164"/>
      <c r="U182" s="166"/>
      <c r="V182" s="165"/>
      <c r="W182" s="165"/>
      <c r="X182" s="164"/>
    </row>
    <row r="183" spans="17:24" ht="11.25">
      <c r="Q183" s="165"/>
      <c r="R183" s="165"/>
      <c r="S183" s="164"/>
      <c r="T183" s="164"/>
      <c r="U183" s="166"/>
      <c r="V183" s="165"/>
      <c r="W183" s="165"/>
      <c r="X183" s="164"/>
    </row>
    <row r="184" spans="17:24" ht="11.25">
      <c r="Q184" s="165"/>
      <c r="R184" s="165"/>
      <c r="S184" s="164"/>
      <c r="T184" s="164"/>
      <c r="U184" s="166"/>
      <c r="V184" s="165"/>
      <c r="W184" s="165"/>
      <c r="X184" s="164"/>
    </row>
    <row r="185" spans="17:24" ht="11.25">
      <c r="Q185" s="165"/>
      <c r="R185" s="165"/>
      <c r="S185" s="164"/>
      <c r="T185" s="164"/>
      <c r="U185" s="166"/>
      <c r="V185" s="165"/>
      <c r="W185" s="165"/>
      <c r="X185" s="164"/>
    </row>
    <row r="186" spans="17:24" ht="11.25">
      <c r="Q186" s="165"/>
      <c r="R186" s="165"/>
      <c r="S186" s="164"/>
      <c r="T186" s="164"/>
      <c r="U186" s="166"/>
      <c r="V186" s="165"/>
      <c r="W186" s="165"/>
      <c r="X186" s="164"/>
    </row>
    <row r="187" spans="17:24" ht="11.25">
      <c r="Q187" s="165"/>
      <c r="R187" s="165"/>
      <c r="S187" s="164"/>
      <c r="T187" s="164"/>
      <c r="U187" s="166"/>
      <c r="V187" s="165"/>
      <c r="W187" s="165"/>
      <c r="X187" s="164"/>
    </row>
    <row r="188" spans="17:24" ht="11.25">
      <c r="Q188" s="165"/>
      <c r="R188" s="165"/>
      <c r="S188" s="164"/>
      <c r="T188" s="164"/>
      <c r="U188" s="166"/>
      <c r="V188" s="165"/>
      <c r="W188" s="165"/>
      <c r="X188" s="164"/>
    </row>
    <row r="189" spans="17:24" ht="11.25">
      <c r="Q189" s="165"/>
      <c r="R189" s="165"/>
      <c r="S189" s="164"/>
      <c r="T189" s="164"/>
      <c r="U189" s="166"/>
      <c r="V189" s="165"/>
      <c r="W189" s="165"/>
      <c r="X189" s="164"/>
    </row>
    <row r="190" spans="17:24" ht="11.25">
      <c r="Q190" s="26"/>
      <c r="R190" s="26"/>
      <c r="S190" s="23"/>
      <c r="T190" s="23"/>
      <c r="U190" s="30"/>
      <c r="V190" s="26"/>
      <c r="W190" s="26"/>
      <c r="X190" s="23"/>
    </row>
    <row r="191" spans="17:24" ht="11.25">
      <c r="Q191" s="26"/>
      <c r="R191" s="26"/>
      <c r="S191" s="23"/>
      <c r="T191" s="23"/>
      <c r="U191" s="30"/>
      <c r="V191" s="26"/>
      <c r="W191" s="26"/>
      <c r="X191" s="23"/>
    </row>
    <row r="192" spans="17:24" ht="11.25">
      <c r="Q192" s="26"/>
      <c r="R192" s="26"/>
      <c r="S192" s="23"/>
      <c r="T192" s="23"/>
      <c r="U192" s="30"/>
      <c r="V192" s="26"/>
      <c r="W192" s="26"/>
      <c r="X192" s="23"/>
    </row>
    <row r="193" spans="17:24" ht="11.25">
      <c r="Q193" s="26"/>
      <c r="R193" s="26"/>
      <c r="S193" s="23"/>
      <c r="T193" s="23"/>
      <c r="U193" s="30"/>
      <c r="V193" s="26"/>
      <c r="W193" s="26"/>
      <c r="X193" s="23"/>
    </row>
    <row r="194" spans="17:24" ht="11.25">
      <c r="Q194" s="26"/>
      <c r="R194" s="26"/>
      <c r="S194" s="23"/>
      <c r="T194" s="23"/>
      <c r="U194" s="30"/>
      <c r="V194" s="26"/>
      <c r="W194" s="26"/>
      <c r="X194" s="23"/>
    </row>
    <row r="195" spans="17:24" ht="11.25">
      <c r="Q195" s="26"/>
      <c r="R195" s="26"/>
      <c r="S195" s="23"/>
      <c r="T195" s="23"/>
      <c r="U195" s="30"/>
      <c r="V195" s="26"/>
      <c r="W195" s="26"/>
      <c r="X195" s="23"/>
    </row>
    <row r="196" spans="17:24" ht="11.25">
      <c r="Q196" s="26"/>
      <c r="R196" s="26"/>
      <c r="S196" s="23"/>
      <c r="T196" s="23"/>
      <c r="U196" s="30"/>
      <c r="V196" s="26"/>
      <c r="W196" s="26"/>
      <c r="X196" s="23"/>
    </row>
    <row r="197" spans="17:24" ht="11.25">
      <c r="Q197" s="26"/>
      <c r="R197" s="26"/>
      <c r="S197" s="23"/>
      <c r="T197" s="23"/>
      <c r="U197" s="30"/>
      <c r="V197" s="26"/>
      <c r="W197" s="26"/>
      <c r="X197" s="23"/>
    </row>
    <row r="198" spans="17:24" ht="11.25">
      <c r="Q198" s="26"/>
      <c r="R198" s="26"/>
      <c r="S198" s="23"/>
      <c r="T198" s="23"/>
      <c r="U198" s="30"/>
      <c r="V198" s="26"/>
      <c r="W198" s="26"/>
      <c r="X198" s="23"/>
    </row>
    <row r="199" spans="17:24" ht="11.25">
      <c r="Q199" s="26"/>
      <c r="R199" s="26"/>
      <c r="S199" s="23"/>
      <c r="T199" s="23"/>
      <c r="U199" s="30"/>
      <c r="V199" s="26"/>
      <c r="W199" s="26"/>
      <c r="X199" s="23"/>
    </row>
    <row r="200" spans="17:24" ht="11.25">
      <c r="Q200" s="26"/>
      <c r="R200" s="26"/>
      <c r="S200" s="23"/>
      <c r="T200" s="23"/>
      <c r="U200" s="30"/>
      <c r="V200" s="26"/>
      <c r="W200" s="26"/>
      <c r="X200" s="23"/>
    </row>
    <row r="201" spans="17:24" ht="11.25">
      <c r="Q201" s="26"/>
      <c r="R201" s="26"/>
      <c r="S201" s="23"/>
      <c r="T201" s="23"/>
      <c r="U201" s="30"/>
      <c r="V201" s="26"/>
      <c r="W201" s="26"/>
      <c r="X201" s="23"/>
    </row>
    <row r="202" spans="17:24" ht="11.25">
      <c r="Q202" s="26"/>
      <c r="R202" s="26"/>
      <c r="S202" s="23"/>
      <c r="T202" s="23"/>
      <c r="U202" s="30"/>
      <c r="V202" s="26"/>
      <c r="W202" s="26"/>
      <c r="X202" s="23"/>
    </row>
    <row r="203" spans="17:24" ht="11.25">
      <c r="Q203" s="26"/>
      <c r="R203" s="26"/>
      <c r="S203" s="23"/>
      <c r="T203" s="23"/>
      <c r="U203" s="30"/>
      <c r="V203" s="26"/>
      <c r="W203" s="26"/>
      <c r="X203" s="23"/>
    </row>
    <row r="204" spans="17:24" ht="11.25">
      <c r="Q204" s="26"/>
      <c r="R204" s="26"/>
      <c r="S204" s="23"/>
      <c r="T204" s="23"/>
      <c r="U204" s="30"/>
      <c r="V204" s="26"/>
      <c r="W204" s="26"/>
      <c r="X204" s="23"/>
    </row>
    <row r="205" spans="17:24" ht="11.25">
      <c r="Q205" s="26"/>
      <c r="R205" s="26"/>
      <c r="S205" s="23"/>
      <c r="T205" s="23"/>
      <c r="U205" s="30"/>
      <c r="V205" s="26"/>
      <c r="W205" s="26"/>
      <c r="X205" s="23"/>
    </row>
    <row r="206" spans="17:24" ht="11.25">
      <c r="Q206" s="26"/>
      <c r="R206" s="26"/>
      <c r="S206" s="23"/>
      <c r="T206" s="23"/>
      <c r="U206" s="30"/>
      <c r="V206" s="26"/>
      <c r="W206" s="26"/>
      <c r="X206" s="23"/>
    </row>
    <row r="207" spans="17:24" ht="11.25">
      <c r="Q207" s="26"/>
      <c r="R207" s="26"/>
      <c r="S207" s="23"/>
      <c r="T207" s="23"/>
      <c r="U207" s="30"/>
      <c r="V207" s="26"/>
      <c r="W207" s="26"/>
      <c r="X207" s="23"/>
    </row>
    <row r="208" spans="17:24" ht="11.25">
      <c r="Q208" s="26"/>
      <c r="R208" s="26"/>
      <c r="S208" s="23"/>
      <c r="T208" s="23"/>
      <c r="U208" s="30"/>
      <c r="V208" s="26"/>
      <c r="W208" s="26"/>
      <c r="X208" s="23"/>
    </row>
    <row r="209" spans="17:24" ht="11.25">
      <c r="Q209" s="26"/>
      <c r="R209" s="26"/>
      <c r="S209" s="23"/>
      <c r="T209" s="23"/>
      <c r="U209" s="30"/>
      <c r="V209" s="26"/>
      <c r="W209" s="26"/>
      <c r="X209" s="23"/>
    </row>
    <row r="210" spans="17:24" ht="11.25">
      <c r="Q210" s="26"/>
      <c r="R210" s="26"/>
      <c r="S210" s="23"/>
      <c r="T210" s="23"/>
      <c r="U210" s="30"/>
      <c r="V210" s="26"/>
      <c r="W210" s="26"/>
      <c r="X210" s="23"/>
    </row>
    <row r="211" spans="17:24" ht="11.25">
      <c r="Q211" s="26"/>
      <c r="R211" s="26"/>
      <c r="S211" s="23"/>
      <c r="T211" s="23"/>
      <c r="U211" s="30"/>
      <c r="V211" s="26"/>
      <c r="W211" s="26"/>
      <c r="X211" s="23"/>
    </row>
    <row r="212" spans="17:24" ht="11.25">
      <c r="Q212" s="26"/>
      <c r="R212" s="26"/>
      <c r="S212" s="23"/>
      <c r="T212" s="23"/>
      <c r="U212" s="30"/>
      <c r="V212" s="26"/>
      <c r="W212" s="26"/>
      <c r="X212" s="23"/>
    </row>
    <row r="213" spans="17:24" ht="11.25">
      <c r="Q213" s="26"/>
      <c r="R213" s="26"/>
      <c r="S213" s="23"/>
      <c r="T213" s="23"/>
      <c r="U213" s="30"/>
      <c r="V213" s="26"/>
      <c r="W213" s="26"/>
      <c r="X213" s="23"/>
    </row>
    <row r="214" spans="17:24" ht="11.25">
      <c r="Q214" s="26"/>
      <c r="R214" s="26"/>
      <c r="S214" s="23"/>
      <c r="T214" s="23"/>
      <c r="U214" s="30"/>
      <c r="V214" s="26"/>
      <c r="W214" s="26"/>
      <c r="X214" s="23"/>
    </row>
    <row r="215" spans="17:24" ht="11.25">
      <c r="Q215" s="26"/>
      <c r="R215" s="26"/>
      <c r="S215" s="23"/>
      <c r="T215" s="23"/>
      <c r="U215" s="30"/>
      <c r="V215" s="26"/>
      <c r="W215" s="26"/>
      <c r="X215" s="23"/>
    </row>
    <row r="216" spans="17:24" ht="11.25">
      <c r="Q216" s="26"/>
      <c r="R216" s="26"/>
      <c r="S216" s="23"/>
      <c r="T216" s="23"/>
      <c r="U216" s="30"/>
      <c r="V216" s="26"/>
      <c r="W216" s="26"/>
      <c r="X216" s="23"/>
    </row>
    <row r="217" spans="17:24" ht="11.25">
      <c r="Q217" s="26"/>
      <c r="R217" s="26"/>
      <c r="S217" s="23"/>
      <c r="T217" s="23"/>
      <c r="U217" s="30"/>
      <c r="V217" s="26"/>
      <c r="W217" s="26"/>
      <c r="X217" s="23"/>
    </row>
    <row r="218" spans="17:24" ht="11.25">
      <c r="Q218" s="26"/>
      <c r="R218" s="26"/>
      <c r="S218" s="23"/>
      <c r="T218" s="23"/>
      <c r="U218" s="30"/>
      <c r="V218" s="26"/>
      <c r="W218" s="26"/>
      <c r="X218" s="23"/>
    </row>
    <row r="219" spans="17:24" ht="11.25">
      <c r="Q219" s="26"/>
      <c r="R219" s="26"/>
      <c r="S219" s="23"/>
      <c r="T219" s="23"/>
      <c r="U219" s="30"/>
      <c r="V219" s="26"/>
      <c r="W219" s="26"/>
      <c r="X219" s="23"/>
    </row>
    <row r="220" spans="17:24" ht="11.25">
      <c r="Q220" s="26"/>
      <c r="R220" s="26"/>
      <c r="S220" s="23"/>
      <c r="T220" s="23"/>
      <c r="U220" s="30"/>
      <c r="V220" s="26"/>
      <c r="W220" s="26"/>
      <c r="X220" s="23"/>
    </row>
    <row r="221" spans="17:24" ht="11.25">
      <c r="Q221" s="26"/>
      <c r="R221" s="26"/>
      <c r="S221" s="23"/>
      <c r="T221" s="23"/>
      <c r="U221" s="30"/>
      <c r="V221" s="26"/>
      <c r="W221" s="26"/>
      <c r="X221" s="23"/>
    </row>
    <row r="222" spans="17:24" ht="11.25">
      <c r="Q222" s="26"/>
      <c r="R222" s="26"/>
      <c r="S222" s="23"/>
      <c r="T222" s="23"/>
      <c r="U222" s="30"/>
      <c r="V222" s="26"/>
      <c r="W222" s="26"/>
      <c r="X222" s="23"/>
    </row>
    <row r="223" spans="17:24" ht="11.25">
      <c r="Q223" s="26"/>
      <c r="R223" s="26"/>
      <c r="S223" s="23"/>
      <c r="T223" s="23"/>
      <c r="U223" s="30"/>
      <c r="V223" s="26"/>
      <c r="W223" s="26"/>
      <c r="X223" s="23"/>
    </row>
    <row r="224" spans="17:24" ht="11.25">
      <c r="Q224" s="26"/>
      <c r="R224" s="26"/>
      <c r="S224" s="23"/>
      <c r="T224" s="23"/>
      <c r="U224" s="30"/>
      <c r="V224" s="26"/>
      <c r="W224" s="26"/>
      <c r="X224" s="23"/>
    </row>
    <row r="225" spans="17:24" ht="11.25">
      <c r="Q225" s="26"/>
      <c r="R225" s="26"/>
      <c r="S225" s="23"/>
      <c r="T225" s="23"/>
      <c r="U225" s="30"/>
      <c r="V225" s="26"/>
      <c r="W225" s="26"/>
      <c r="X225" s="23"/>
    </row>
    <row r="226" spans="17:24" ht="11.25">
      <c r="Q226" s="26"/>
      <c r="R226" s="26"/>
      <c r="S226" s="23"/>
      <c r="T226" s="23"/>
      <c r="U226" s="30"/>
      <c r="V226" s="26"/>
      <c r="W226" s="26"/>
      <c r="X226" s="23"/>
    </row>
    <row r="227" spans="17:24" ht="11.25">
      <c r="Q227" s="26"/>
      <c r="R227" s="26"/>
      <c r="S227" s="23"/>
      <c r="T227" s="23"/>
      <c r="U227" s="30"/>
      <c r="V227" s="26"/>
      <c r="W227" s="26"/>
      <c r="X227" s="23"/>
    </row>
    <row r="228" spans="17:24" ht="11.25">
      <c r="Q228" s="26"/>
      <c r="R228" s="26"/>
      <c r="S228" s="23"/>
      <c r="T228" s="23"/>
      <c r="U228" s="30"/>
      <c r="V228" s="26"/>
      <c r="W228" s="26"/>
      <c r="X228" s="23"/>
    </row>
    <row r="229" spans="17:24" ht="11.25">
      <c r="Q229" s="26"/>
      <c r="R229" s="26"/>
      <c r="S229" s="23"/>
      <c r="T229" s="23"/>
      <c r="U229" s="30"/>
      <c r="V229" s="26"/>
      <c r="W229" s="26"/>
      <c r="X229" s="23"/>
    </row>
    <row r="230" spans="17:24" ht="11.25">
      <c r="Q230" s="26"/>
      <c r="R230" s="26"/>
      <c r="S230" s="23"/>
      <c r="T230" s="23"/>
      <c r="U230" s="30"/>
      <c r="V230" s="26"/>
      <c r="W230" s="26"/>
      <c r="X230" s="23"/>
    </row>
    <row r="231" spans="17:24" ht="11.25">
      <c r="Q231" s="26"/>
      <c r="R231" s="26"/>
      <c r="S231" s="23"/>
      <c r="T231" s="23"/>
      <c r="U231" s="30"/>
      <c r="V231" s="26"/>
      <c r="W231" s="26"/>
      <c r="X231" s="23"/>
    </row>
    <row r="232" spans="17:24" ht="11.25">
      <c r="Q232" s="26"/>
      <c r="R232" s="26"/>
      <c r="S232" s="23"/>
      <c r="T232" s="23"/>
      <c r="U232" s="30"/>
      <c r="V232" s="26"/>
      <c r="W232" s="26"/>
      <c r="X232" s="23"/>
    </row>
    <row r="233" spans="17:24" ht="11.25">
      <c r="Q233" s="26"/>
      <c r="R233" s="26"/>
      <c r="S233" s="23"/>
      <c r="T233" s="23"/>
      <c r="U233" s="30"/>
      <c r="V233" s="26"/>
      <c r="W233" s="26"/>
      <c r="X233" s="23"/>
    </row>
    <row r="234" spans="17:24" ht="11.25">
      <c r="Q234" s="26"/>
      <c r="R234" s="26"/>
      <c r="S234" s="23"/>
      <c r="T234" s="23"/>
      <c r="U234" s="30"/>
      <c r="V234" s="26"/>
      <c r="W234" s="26"/>
      <c r="X234" s="23"/>
    </row>
    <row r="235" spans="17:24" ht="11.25">
      <c r="Q235" s="26"/>
      <c r="R235" s="26"/>
      <c r="S235" s="23"/>
      <c r="T235" s="23"/>
      <c r="U235" s="30"/>
      <c r="V235" s="26"/>
      <c r="W235" s="26"/>
      <c r="X235" s="23"/>
    </row>
    <row r="236" spans="17:24" ht="11.25">
      <c r="Q236" s="26"/>
      <c r="R236" s="26"/>
      <c r="S236" s="23"/>
      <c r="T236" s="23"/>
      <c r="U236" s="30"/>
      <c r="V236" s="26"/>
      <c r="W236" s="26"/>
      <c r="X236" s="23"/>
    </row>
    <row r="237" spans="17:24" ht="11.25">
      <c r="Q237" s="26"/>
      <c r="R237" s="26"/>
      <c r="S237" s="23"/>
      <c r="T237" s="23"/>
      <c r="U237" s="30"/>
      <c r="V237" s="26"/>
      <c r="W237" s="26"/>
      <c r="X237" s="23"/>
    </row>
    <row r="238" spans="17:24" ht="11.25">
      <c r="Q238" s="26"/>
      <c r="R238" s="26"/>
      <c r="S238" s="23"/>
      <c r="T238" s="23"/>
      <c r="U238" s="30"/>
      <c r="V238" s="26"/>
      <c r="W238" s="26"/>
      <c r="X238" s="23"/>
    </row>
    <row r="239" spans="17:24" ht="11.25">
      <c r="Q239" s="26"/>
      <c r="R239" s="26"/>
      <c r="S239" s="23"/>
      <c r="T239" s="23"/>
      <c r="U239" s="30"/>
      <c r="V239" s="26"/>
      <c r="W239" s="26"/>
      <c r="X239" s="23"/>
    </row>
    <row r="240" spans="17:24" ht="11.25">
      <c r="Q240" s="26"/>
      <c r="R240" s="26"/>
      <c r="S240" s="23"/>
      <c r="T240" s="23"/>
      <c r="U240" s="30"/>
      <c r="V240" s="26"/>
      <c r="W240" s="26"/>
      <c r="X240" s="23"/>
    </row>
  </sheetData>
  <mergeCells count="13">
    <mergeCell ref="A5:A7"/>
    <mergeCell ref="B5:B7"/>
    <mergeCell ref="C5:C7"/>
    <mergeCell ref="D5:D7"/>
    <mergeCell ref="Y5:Y7"/>
    <mergeCell ref="X5:X7"/>
    <mergeCell ref="E5:E7"/>
    <mergeCell ref="F5:F7"/>
    <mergeCell ref="G5:G7"/>
    <mergeCell ref="M5:M7"/>
    <mergeCell ref="J6:L6"/>
    <mergeCell ref="P6:R6"/>
    <mergeCell ref="U6:W6"/>
  </mergeCells>
  <printOptions gridLines="1"/>
  <pageMargins left="0.1968503937007874" right="0" top="0.5905511811023623" bottom="0.2755905511811024" header="0.31496062992125984" footer="0.11811023622047245"/>
  <pageSetup horizontalDpi="600" verticalDpi="600" orientation="landscape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V124"/>
  <sheetViews>
    <sheetView zoomScale="120" zoomScaleNormal="120" workbookViewId="0" topLeftCell="A1">
      <selection activeCell="A19" sqref="A19"/>
    </sheetView>
  </sheetViews>
  <sheetFormatPr defaultColWidth="9.00390625" defaultRowHeight="12.75" outlineLevelRow="1"/>
  <cols>
    <col min="1" max="1" width="48.00390625" style="1" customWidth="1"/>
    <col min="2" max="2" width="9.00390625" style="1" customWidth="1"/>
    <col min="3" max="3" width="3.125" style="2" customWidth="1"/>
    <col min="4" max="4" width="3.25390625" style="1" customWidth="1"/>
    <col min="5" max="5" width="3.625" style="2" customWidth="1"/>
    <col min="6" max="6" width="3.75390625" style="2" customWidth="1"/>
    <col min="7" max="7" width="10.625" style="1" customWidth="1"/>
    <col min="8" max="8" width="11.00390625" style="1" customWidth="1"/>
    <col min="9" max="9" width="9.625" style="1" customWidth="1"/>
    <col min="10" max="10" width="8.875" style="1" customWidth="1"/>
    <col min="11" max="11" width="12.00390625" style="1" customWidth="1"/>
    <col min="12" max="12" width="10.875" style="1" customWidth="1"/>
    <col min="13" max="13" width="10.75390625" style="1" customWidth="1"/>
    <col min="14" max="15" width="8.25390625" style="1" customWidth="1"/>
    <col min="16" max="16" width="11.875" style="1" customWidth="1"/>
    <col min="17" max="17" width="10.75390625" style="1" customWidth="1"/>
    <col min="18" max="19" width="8.125" style="1" customWidth="1"/>
    <col min="20" max="20" width="5.875" style="1" customWidth="1"/>
    <col min="21" max="21" width="5.75390625" style="1" customWidth="1"/>
    <col min="22" max="16384" width="9.125" style="1" customWidth="1"/>
  </cols>
  <sheetData>
    <row r="1" spans="4:11" ht="12.75" outlineLevel="1">
      <c r="D1" s="587" t="s">
        <v>307</v>
      </c>
      <c r="E1" s="587"/>
      <c r="F1" s="587"/>
      <c r="G1" s="587"/>
      <c r="H1" s="587"/>
      <c r="I1" s="587"/>
      <c r="J1" s="587"/>
      <c r="K1" s="587"/>
    </row>
    <row r="2" spans="4:11" ht="12.75" outlineLevel="1">
      <c r="D2" s="587" t="s">
        <v>309</v>
      </c>
      <c r="E2" s="587"/>
      <c r="F2" s="587"/>
      <c r="G2" s="587"/>
      <c r="H2" s="587"/>
      <c r="I2" s="587"/>
      <c r="J2" s="587"/>
      <c r="K2" s="587"/>
    </row>
    <row r="3" ht="12.75" outlineLevel="1">
      <c r="H3" s="18" t="s">
        <v>107</v>
      </c>
    </row>
    <row r="4" spans="12:19" ht="12.75">
      <c r="L4" s="7"/>
      <c r="R4" s="1" t="s">
        <v>308</v>
      </c>
      <c r="S4" s="1" t="s">
        <v>308</v>
      </c>
    </row>
    <row r="5" spans="1:21" s="65" customFormat="1" ht="17.25" customHeight="1">
      <c r="A5" s="629"/>
      <c r="B5" s="595" t="s">
        <v>213</v>
      </c>
      <c r="C5" s="595" t="s">
        <v>214</v>
      </c>
      <c r="D5" s="595" t="s">
        <v>215</v>
      </c>
      <c r="E5" s="595" t="s">
        <v>216</v>
      </c>
      <c r="F5" s="595" t="s">
        <v>218</v>
      </c>
      <c r="G5" s="61"/>
      <c r="H5" s="62" t="s">
        <v>300</v>
      </c>
      <c r="I5" s="63"/>
      <c r="J5" s="63"/>
      <c r="K5" s="595" t="s">
        <v>108</v>
      </c>
      <c r="L5" s="61"/>
      <c r="M5" s="64" t="s">
        <v>301</v>
      </c>
      <c r="N5" s="63"/>
      <c r="O5" s="63"/>
      <c r="P5" s="588" t="s">
        <v>205</v>
      </c>
      <c r="Q5" s="589"/>
      <c r="R5" s="590"/>
      <c r="S5" s="124"/>
      <c r="T5" s="601" t="s">
        <v>339</v>
      </c>
      <c r="U5" s="601" t="s">
        <v>290</v>
      </c>
    </row>
    <row r="6" spans="1:21" s="65" customFormat="1" ht="12.75">
      <c r="A6" s="630"/>
      <c r="B6" s="596"/>
      <c r="C6" s="596"/>
      <c r="D6" s="596"/>
      <c r="E6" s="596"/>
      <c r="F6" s="596"/>
      <c r="G6" s="66"/>
      <c r="H6" s="61" t="s">
        <v>303</v>
      </c>
      <c r="I6" s="63"/>
      <c r="J6" s="63"/>
      <c r="K6" s="596"/>
      <c r="L6" s="66"/>
      <c r="M6" s="61" t="s">
        <v>303</v>
      </c>
      <c r="N6" s="63"/>
      <c r="O6" s="63"/>
      <c r="P6" s="66"/>
      <c r="Q6" s="61" t="s">
        <v>303</v>
      </c>
      <c r="R6" s="63"/>
      <c r="S6" s="63"/>
      <c r="T6" s="593"/>
      <c r="U6" s="593"/>
    </row>
    <row r="7" spans="1:21" s="65" customFormat="1" ht="65.25" customHeight="1">
      <c r="A7" s="631"/>
      <c r="B7" s="597"/>
      <c r="C7" s="597"/>
      <c r="D7" s="597"/>
      <c r="E7" s="597"/>
      <c r="F7" s="597"/>
      <c r="G7" s="67" t="s">
        <v>304</v>
      </c>
      <c r="H7" s="59" t="s">
        <v>305</v>
      </c>
      <c r="I7" s="68" t="s">
        <v>306</v>
      </c>
      <c r="J7" s="168" t="s">
        <v>291</v>
      </c>
      <c r="K7" s="597"/>
      <c r="L7" s="67" t="s">
        <v>304</v>
      </c>
      <c r="M7" s="59" t="s">
        <v>305</v>
      </c>
      <c r="N7" s="68" t="s">
        <v>306</v>
      </c>
      <c r="O7" s="68" t="s">
        <v>312</v>
      </c>
      <c r="P7" s="67" t="s">
        <v>304</v>
      </c>
      <c r="Q7" s="59" t="s">
        <v>305</v>
      </c>
      <c r="R7" s="68" t="s">
        <v>306</v>
      </c>
      <c r="S7" s="68" t="s">
        <v>312</v>
      </c>
      <c r="T7" s="594"/>
      <c r="U7" s="594"/>
    </row>
    <row r="8" spans="1:17" ht="8.25" customHeight="1">
      <c r="A8" s="4"/>
      <c r="B8" s="3"/>
      <c r="C8" s="5"/>
      <c r="D8" s="3"/>
      <c r="E8" s="5"/>
      <c r="F8" s="5"/>
      <c r="G8" s="6"/>
      <c r="H8" s="6"/>
      <c r="K8" s="6"/>
      <c r="L8" s="6"/>
      <c r="M8" s="6"/>
      <c r="P8" s="6"/>
      <c r="Q8" s="6"/>
    </row>
    <row r="9" spans="1:21" ht="43.5" customHeight="1">
      <c r="A9" s="10" t="s">
        <v>219</v>
      </c>
      <c r="B9" s="9" t="s">
        <v>220</v>
      </c>
      <c r="C9" s="19"/>
      <c r="D9" s="19"/>
      <c r="E9" s="19"/>
      <c r="F9" s="19"/>
      <c r="G9" s="7">
        <f aca="true" t="shared" si="0" ref="G9:S9">SUM(G12+G36+G63+G102+G112+G119)</f>
        <v>2620605.8000000003</v>
      </c>
      <c r="H9" s="7">
        <f t="shared" si="0"/>
        <v>2537756.4</v>
      </c>
      <c r="I9" s="7">
        <f t="shared" si="0"/>
        <v>40021.8</v>
      </c>
      <c r="J9" s="7">
        <f t="shared" si="0"/>
        <v>42827.6</v>
      </c>
      <c r="K9" s="7">
        <f t="shared" si="0"/>
        <v>537565.1</v>
      </c>
      <c r="L9" s="7">
        <f t="shared" si="0"/>
        <v>456354</v>
      </c>
      <c r="M9" s="7">
        <f t="shared" si="0"/>
        <v>423882.6</v>
      </c>
      <c r="N9" s="7">
        <f t="shared" si="0"/>
        <v>2130.5</v>
      </c>
      <c r="O9" s="7">
        <f t="shared" si="0"/>
        <v>30340.9</v>
      </c>
      <c r="P9" s="7">
        <f t="shared" si="0"/>
        <v>456353.9</v>
      </c>
      <c r="Q9" s="7">
        <f t="shared" si="0"/>
        <v>423882.6</v>
      </c>
      <c r="R9" s="7">
        <f t="shared" si="0"/>
        <v>2130.5</v>
      </c>
      <c r="S9" s="7">
        <f t="shared" si="0"/>
        <v>30340.9</v>
      </c>
      <c r="T9" s="7">
        <f>SUM(M9/K9)*100</f>
        <v>78.85232876911094</v>
      </c>
      <c r="U9" s="7">
        <f>Q9/M9*100</f>
        <v>100</v>
      </c>
    </row>
    <row r="10" spans="1:21" s="278" customFormat="1" ht="12.75" customHeight="1">
      <c r="A10" s="514" t="s">
        <v>374</v>
      </c>
      <c r="B10" s="511"/>
      <c r="C10" s="512"/>
      <c r="D10" s="512"/>
      <c r="E10" s="512"/>
      <c r="F10" s="512"/>
      <c r="G10" s="513"/>
      <c r="H10" s="513"/>
      <c r="I10" s="513"/>
      <c r="J10" s="513"/>
      <c r="K10" s="513"/>
      <c r="L10" s="513"/>
      <c r="M10" s="513"/>
      <c r="N10" s="513"/>
      <c r="O10" s="513"/>
      <c r="P10" s="513">
        <f>Q10+R10</f>
        <v>1394.6</v>
      </c>
      <c r="Q10" s="513">
        <f>Q37</f>
        <v>1352.8</v>
      </c>
      <c r="R10" s="513">
        <f>R37</f>
        <v>41.8</v>
      </c>
      <c r="S10" s="513"/>
      <c r="T10" s="513"/>
      <c r="U10" s="513"/>
    </row>
    <row r="11" spans="1:18" s="149" customFormat="1" ht="12.75" customHeight="1">
      <c r="A11" s="506" t="s">
        <v>51</v>
      </c>
      <c r="B11" s="509"/>
      <c r="C11" s="510"/>
      <c r="D11" s="510"/>
      <c r="E11" s="510"/>
      <c r="F11" s="510"/>
      <c r="P11" s="395">
        <f>Q11+R11</f>
        <v>113106.4</v>
      </c>
      <c r="Q11" s="395">
        <f>Q13+Q64</f>
        <v>109713.2</v>
      </c>
      <c r="R11" s="395">
        <f>R13+R64</f>
        <v>3393.2000000000003</v>
      </c>
    </row>
    <row r="12" spans="1:21" ht="75" customHeight="1">
      <c r="A12" s="478" t="s">
        <v>133</v>
      </c>
      <c r="B12" s="130" t="s">
        <v>221</v>
      </c>
      <c r="C12" s="479"/>
      <c r="D12" s="130"/>
      <c r="E12" s="479"/>
      <c r="F12" s="479"/>
      <c r="G12" s="132">
        <f aca="true" t="shared" si="1" ref="G12:S12">SUM(G14)</f>
        <v>1175706.5</v>
      </c>
      <c r="H12" s="132">
        <f t="shared" si="1"/>
        <v>1145843.5</v>
      </c>
      <c r="I12" s="132">
        <f t="shared" si="1"/>
        <v>29863</v>
      </c>
      <c r="J12" s="132">
        <f t="shared" si="1"/>
        <v>0</v>
      </c>
      <c r="K12" s="132">
        <f t="shared" si="1"/>
        <v>99422.3</v>
      </c>
      <c r="L12" s="132">
        <f t="shared" si="1"/>
        <v>66653.59999999999</v>
      </c>
      <c r="M12" s="132">
        <f t="shared" si="1"/>
        <v>64653.9</v>
      </c>
      <c r="N12" s="132">
        <f t="shared" si="1"/>
        <v>1999.7</v>
      </c>
      <c r="O12" s="132">
        <f t="shared" si="1"/>
        <v>0</v>
      </c>
      <c r="P12" s="132">
        <f t="shared" si="1"/>
        <v>66653.59999999999</v>
      </c>
      <c r="Q12" s="132">
        <f t="shared" si="1"/>
        <v>64653.9</v>
      </c>
      <c r="R12" s="132">
        <f t="shared" si="1"/>
        <v>1999.7</v>
      </c>
      <c r="S12" s="132">
        <f t="shared" si="1"/>
        <v>0</v>
      </c>
      <c r="T12" s="132">
        <f>SUM(M12/K12)*100</f>
        <v>65.02957585974173</v>
      </c>
      <c r="U12" s="130">
        <f>(P12/L12)*100</f>
        <v>100</v>
      </c>
    </row>
    <row r="13" spans="1:21" s="149" customFormat="1" ht="12.75" customHeight="1">
      <c r="A13" s="506" t="s">
        <v>51</v>
      </c>
      <c r="B13" s="446"/>
      <c r="C13" s="485"/>
      <c r="D13" s="446"/>
      <c r="E13" s="485"/>
      <c r="F13" s="485"/>
      <c r="G13" s="446"/>
      <c r="H13" s="330"/>
      <c r="I13" s="446"/>
      <c r="J13" s="446"/>
      <c r="K13" s="330"/>
      <c r="L13" s="446"/>
      <c r="M13" s="330"/>
      <c r="N13" s="446"/>
      <c r="O13" s="446"/>
      <c r="P13" s="446">
        <f>Q13+R13</f>
        <v>103523.7</v>
      </c>
      <c r="Q13" s="330">
        <f>Q21+Q27+Q29</f>
        <v>100417.9</v>
      </c>
      <c r="R13" s="446">
        <f>R21+R27+R29</f>
        <v>3105.8</v>
      </c>
      <c r="S13" s="446"/>
      <c r="T13" s="446"/>
      <c r="U13" s="446"/>
    </row>
    <row r="14" spans="1:21" ht="40.5">
      <c r="A14" s="79" t="s">
        <v>230</v>
      </c>
      <c r="B14" s="39" t="s">
        <v>221</v>
      </c>
      <c r="C14" s="82" t="s">
        <v>231</v>
      </c>
      <c r="D14" s="39"/>
      <c r="E14" s="81"/>
      <c r="F14" s="81"/>
      <c r="G14" s="40">
        <f>SUM(G15)</f>
        <v>1175706.5</v>
      </c>
      <c r="H14" s="132">
        <f aca="true" t="shared" si="2" ref="H14:J15">SUM(H15)</f>
        <v>1145843.5</v>
      </c>
      <c r="I14" s="40">
        <f t="shared" si="2"/>
        <v>29863</v>
      </c>
      <c r="J14" s="40">
        <f t="shared" si="2"/>
        <v>0</v>
      </c>
      <c r="K14" s="132">
        <f aca="true" t="shared" si="3" ref="K14:M15">SUM(K15)</f>
        <v>99422.3</v>
      </c>
      <c r="L14" s="40">
        <f t="shared" si="3"/>
        <v>66653.59999999999</v>
      </c>
      <c r="M14" s="132">
        <f t="shared" si="3"/>
        <v>64653.9</v>
      </c>
      <c r="N14" s="40">
        <f>SUM(N15)</f>
        <v>1999.7</v>
      </c>
      <c r="O14" s="40">
        <f>SUM(O15)</f>
        <v>0</v>
      </c>
      <c r="P14" s="40">
        <f>SUM(P15)</f>
        <v>66653.59999999999</v>
      </c>
      <c r="Q14" s="132">
        <f>SUM(Q15)</f>
        <v>64653.9</v>
      </c>
      <c r="R14" s="40">
        <f aca="true" t="shared" si="4" ref="P14:S15">SUM(R15)</f>
        <v>1999.7</v>
      </c>
      <c r="S14" s="40">
        <f t="shared" si="4"/>
        <v>0</v>
      </c>
      <c r="T14" s="39">
        <f>SUM(M14/K14)*100</f>
        <v>65.02957585974173</v>
      </c>
      <c r="U14" s="39">
        <f aca="true" t="shared" si="5" ref="U14:U20">(P14/L14)*100</f>
        <v>100</v>
      </c>
    </row>
    <row r="15" spans="1:21" ht="12.75">
      <c r="A15" s="83" t="s">
        <v>264</v>
      </c>
      <c r="B15" s="39" t="s">
        <v>221</v>
      </c>
      <c r="C15" s="80" t="s">
        <v>231</v>
      </c>
      <c r="D15" s="80" t="s">
        <v>263</v>
      </c>
      <c r="E15" s="80"/>
      <c r="F15" s="80"/>
      <c r="G15" s="39">
        <f>SUM(G16)</f>
        <v>1175706.5</v>
      </c>
      <c r="H15" s="130">
        <f t="shared" si="2"/>
        <v>1145843.5</v>
      </c>
      <c r="I15" s="39">
        <f t="shared" si="2"/>
        <v>29863</v>
      </c>
      <c r="J15" s="39">
        <f t="shared" si="2"/>
        <v>0</v>
      </c>
      <c r="K15" s="130">
        <f t="shared" si="3"/>
        <v>99422.3</v>
      </c>
      <c r="L15" s="39">
        <f t="shared" si="3"/>
        <v>66653.59999999999</v>
      </c>
      <c r="M15" s="130">
        <f t="shared" si="3"/>
        <v>64653.9</v>
      </c>
      <c r="N15" s="39">
        <f>SUM(N16)</f>
        <v>1999.7</v>
      </c>
      <c r="O15" s="39">
        <f>SUM(O16)</f>
        <v>0</v>
      </c>
      <c r="P15" s="39">
        <f t="shared" si="4"/>
        <v>66653.59999999999</v>
      </c>
      <c r="Q15" s="130">
        <f t="shared" si="4"/>
        <v>64653.9</v>
      </c>
      <c r="R15" s="39">
        <f t="shared" si="4"/>
        <v>1999.7</v>
      </c>
      <c r="S15" s="39">
        <f t="shared" si="4"/>
        <v>0</v>
      </c>
      <c r="T15" s="39">
        <f>M15/K15*100</f>
        <v>65.02957585974173</v>
      </c>
      <c r="U15" s="39">
        <f t="shared" si="5"/>
        <v>100</v>
      </c>
    </row>
    <row r="16" spans="1:21" ht="12.75">
      <c r="A16" s="83" t="s">
        <v>284</v>
      </c>
      <c r="B16" s="39" t="s">
        <v>221</v>
      </c>
      <c r="C16" s="80" t="s">
        <v>231</v>
      </c>
      <c r="D16" s="80" t="s">
        <v>263</v>
      </c>
      <c r="E16" s="80" t="s">
        <v>250</v>
      </c>
      <c r="F16" s="80"/>
      <c r="G16" s="39">
        <f aca="true" t="shared" si="6" ref="G16:S16">SUM(G17+G19)</f>
        <v>1175706.5</v>
      </c>
      <c r="H16" s="130">
        <f t="shared" si="6"/>
        <v>1145843.5</v>
      </c>
      <c r="I16" s="39">
        <f t="shared" si="6"/>
        <v>29863</v>
      </c>
      <c r="J16" s="39">
        <f t="shared" si="6"/>
        <v>0</v>
      </c>
      <c r="K16" s="130">
        <f t="shared" si="6"/>
        <v>99422.3</v>
      </c>
      <c r="L16" s="39">
        <f t="shared" si="6"/>
        <v>66653.59999999999</v>
      </c>
      <c r="M16" s="130">
        <f t="shared" si="6"/>
        <v>64653.9</v>
      </c>
      <c r="N16" s="39">
        <f t="shared" si="6"/>
        <v>1999.7</v>
      </c>
      <c r="O16" s="39">
        <f t="shared" si="6"/>
        <v>0</v>
      </c>
      <c r="P16" s="39">
        <f t="shared" si="6"/>
        <v>66653.59999999999</v>
      </c>
      <c r="Q16" s="130">
        <f t="shared" si="6"/>
        <v>64653.9</v>
      </c>
      <c r="R16" s="39">
        <f t="shared" si="6"/>
        <v>1999.7</v>
      </c>
      <c r="S16" s="39">
        <f t="shared" si="6"/>
        <v>0</v>
      </c>
      <c r="T16" s="39">
        <f>M16/K16*100</f>
        <v>65.02957585974173</v>
      </c>
      <c r="U16" s="39">
        <f t="shared" si="5"/>
        <v>100</v>
      </c>
    </row>
    <row r="17" spans="1:21" ht="12.75">
      <c r="A17" s="83" t="s">
        <v>257</v>
      </c>
      <c r="B17" s="39" t="s">
        <v>221</v>
      </c>
      <c r="C17" s="80" t="s">
        <v>231</v>
      </c>
      <c r="D17" s="80" t="s">
        <v>263</v>
      </c>
      <c r="E17" s="80" t="s">
        <v>250</v>
      </c>
      <c r="F17" s="80" t="s">
        <v>258</v>
      </c>
      <c r="G17" s="39">
        <f>SUM(G18)</f>
        <v>180271</v>
      </c>
      <c r="H17" s="130">
        <f aca="true" t="shared" si="7" ref="H17:S17">SUM(H18)</f>
        <v>180271</v>
      </c>
      <c r="I17" s="39">
        <f t="shared" si="7"/>
        <v>0</v>
      </c>
      <c r="J17" s="39">
        <f t="shared" si="7"/>
        <v>0</v>
      </c>
      <c r="K17" s="130">
        <f t="shared" si="7"/>
        <v>3129.6</v>
      </c>
      <c r="L17" s="39">
        <f t="shared" si="7"/>
        <v>0</v>
      </c>
      <c r="M17" s="130">
        <f t="shared" si="7"/>
        <v>0</v>
      </c>
      <c r="N17" s="39">
        <f t="shared" si="7"/>
        <v>0</v>
      </c>
      <c r="O17" s="39">
        <f t="shared" si="7"/>
        <v>0</v>
      </c>
      <c r="P17" s="39">
        <f t="shared" si="7"/>
        <v>0</v>
      </c>
      <c r="Q17" s="130">
        <f t="shared" si="7"/>
        <v>0</v>
      </c>
      <c r="R17" s="39">
        <f t="shared" si="7"/>
        <v>0</v>
      </c>
      <c r="S17" s="39">
        <f t="shared" si="7"/>
        <v>0</v>
      </c>
      <c r="T17" s="39">
        <f>M17/K17*100</f>
        <v>0</v>
      </c>
      <c r="U17" s="39">
        <v>0</v>
      </c>
    </row>
    <row r="18" spans="1:21" ht="12.75">
      <c r="A18" s="101" t="s">
        <v>140</v>
      </c>
      <c r="B18" s="103" t="s">
        <v>221</v>
      </c>
      <c r="C18" s="378" t="s">
        <v>231</v>
      </c>
      <c r="D18" s="378" t="s">
        <v>263</v>
      </c>
      <c r="E18" s="378" t="s">
        <v>250</v>
      </c>
      <c r="F18" s="378" t="s">
        <v>258</v>
      </c>
      <c r="G18" s="103">
        <f>SUM(H18+I18)</f>
        <v>180271</v>
      </c>
      <c r="H18" s="131">
        <f>118275.3+61995.7</f>
        <v>180271</v>
      </c>
      <c r="I18" s="103">
        <v>0</v>
      </c>
      <c r="J18" s="103">
        <v>0</v>
      </c>
      <c r="K18" s="131">
        <v>3129.6</v>
      </c>
      <c r="L18" s="103">
        <f>SUM(M18+N18)</f>
        <v>0</v>
      </c>
      <c r="M18" s="131">
        <v>0</v>
      </c>
      <c r="N18" s="103">
        <v>0</v>
      </c>
      <c r="O18" s="103">
        <v>0</v>
      </c>
      <c r="P18" s="103">
        <f>SUM(Q18+R18)</f>
        <v>0</v>
      </c>
      <c r="Q18" s="131">
        <v>0</v>
      </c>
      <c r="R18" s="103">
        <v>0</v>
      </c>
      <c r="S18" s="103">
        <v>0</v>
      </c>
      <c r="T18" s="103">
        <f>SUM(M18/K18)*100</f>
        <v>0</v>
      </c>
      <c r="U18" s="103">
        <v>0</v>
      </c>
    </row>
    <row r="19" spans="1:21" ht="12.75">
      <c r="A19" s="41" t="s">
        <v>240</v>
      </c>
      <c r="B19" s="39" t="s">
        <v>221</v>
      </c>
      <c r="C19" s="80" t="s">
        <v>231</v>
      </c>
      <c r="D19" s="80" t="s">
        <v>263</v>
      </c>
      <c r="E19" s="80" t="s">
        <v>250</v>
      </c>
      <c r="F19" s="82" t="s">
        <v>241</v>
      </c>
      <c r="G19" s="39">
        <f aca="true" t="shared" si="8" ref="G19:S19">SUM(G20+G26+G28)</f>
        <v>995435.5000000001</v>
      </c>
      <c r="H19" s="130">
        <f t="shared" si="8"/>
        <v>965572.5000000001</v>
      </c>
      <c r="I19" s="39">
        <f t="shared" si="8"/>
        <v>29863</v>
      </c>
      <c r="J19" s="39">
        <f t="shared" si="8"/>
        <v>0</v>
      </c>
      <c r="K19" s="130">
        <f t="shared" si="8"/>
        <v>96292.7</v>
      </c>
      <c r="L19" s="39">
        <f t="shared" si="8"/>
        <v>66653.59999999999</v>
      </c>
      <c r="M19" s="130">
        <f t="shared" si="8"/>
        <v>64653.9</v>
      </c>
      <c r="N19" s="39">
        <f t="shared" si="8"/>
        <v>1999.7</v>
      </c>
      <c r="O19" s="39">
        <f t="shared" si="8"/>
        <v>0</v>
      </c>
      <c r="P19" s="39">
        <f t="shared" si="8"/>
        <v>66653.59999999999</v>
      </c>
      <c r="Q19" s="130">
        <f t="shared" si="8"/>
        <v>64653.9</v>
      </c>
      <c r="R19" s="39">
        <f t="shared" si="8"/>
        <v>1999.7</v>
      </c>
      <c r="S19" s="39">
        <f t="shared" si="8"/>
        <v>0</v>
      </c>
      <c r="T19" s="39">
        <f>SUM(M19/K19)*100</f>
        <v>67.14309599793131</v>
      </c>
      <c r="U19" s="39">
        <f t="shared" si="5"/>
        <v>100</v>
      </c>
    </row>
    <row r="20" spans="1:21" s="22" customFormat="1" ht="12.75">
      <c r="A20" s="494" t="s">
        <v>245</v>
      </c>
      <c r="B20" s="103" t="s">
        <v>221</v>
      </c>
      <c r="C20" s="378" t="s">
        <v>231</v>
      </c>
      <c r="D20" s="378" t="s">
        <v>263</v>
      </c>
      <c r="E20" s="378" t="s">
        <v>250</v>
      </c>
      <c r="F20" s="102" t="s">
        <v>241</v>
      </c>
      <c r="G20" s="103">
        <f>SUM(H20+I20)</f>
        <v>575241.3</v>
      </c>
      <c r="H20" s="131">
        <f>H22+H24</f>
        <v>557984.1000000001</v>
      </c>
      <c r="I20" s="103">
        <f>I22+I24</f>
        <v>17257.2</v>
      </c>
      <c r="J20" s="103"/>
      <c r="K20" s="131">
        <f>K22+K24</f>
        <v>14592.7</v>
      </c>
      <c r="L20" s="103">
        <f>SUM(M20+N20)</f>
        <v>7431.299999999999</v>
      </c>
      <c r="M20" s="131">
        <f>M22+M24</f>
        <v>7208.4</v>
      </c>
      <c r="N20" s="103">
        <v>222.9</v>
      </c>
      <c r="O20" s="103"/>
      <c r="P20" s="103">
        <f>SUM(Q20+R20)</f>
        <v>7431.299999999999</v>
      </c>
      <c r="Q20" s="131">
        <v>7208.4</v>
      </c>
      <c r="R20" s="103">
        <v>222.9</v>
      </c>
      <c r="S20" s="186"/>
      <c r="T20" s="39">
        <f>SUM(M20/K20)*100</f>
        <v>49.397301390421234</v>
      </c>
      <c r="U20" s="39">
        <f t="shared" si="5"/>
        <v>100</v>
      </c>
    </row>
    <row r="21" spans="1:21" s="22" customFormat="1" ht="12.75">
      <c r="A21" s="602" t="s">
        <v>197</v>
      </c>
      <c r="B21" s="290"/>
      <c r="C21" s="336"/>
      <c r="D21" s="336"/>
      <c r="E21" s="336"/>
      <c r="F21" s="337"/>
      <c r="G21" s="290"/>
      <c r="H21" s="458"/>
      <c r="I21" s="290"/>
      <c r="J21" s="290"/>
      <c r="K21" s="458"/>
      <c r="L21" s="290"/>
      <c r="M21" s="458"/>
      <c r="N21" s="290"/>
      <c r="O21" s="290"/>
      <c r="P21" s="290"/>
      <c r="Q21" s="458">
        <f>Q23+Q25</f>
        <v>58684.5</v>
      </c>
      <c r="R21" s="290">
        <f>R23+R25</f>
        <v>1815</v>
      </c>
      <c r="S21" s="329"/>
      <c r="T21" s="290"/>
      <c r="U21" s="290"/>
    </row>
    <row r="22" spans="1:21" s="55" customFormat="1" ht="22.5" customHeight="1">
      <c r="A22" s="632" t="s">
        <v>195</v>
      </c>
      <c r="B22" s="121"/>
      <c r="C22" s="492"/>
      <c r="D22" s="492"/>
      <c r="E22" s="492"/>
      <c r="F22" s="120"/>
      <c r="G22" s="121"/>
      <c r="H22" s="133">
        <f>420639.7-202936.5</f>
        <v>217703.2</v>
      </c>
      <c r="I22" s="121">
        <v>6733.1</v>
      </c>
      <c r="J22" s="121"/>
      <c r="K22" s="133">
        <v>7208.4</v>
      </c>
      <c r="L22" s="121"/>
      <c r="M22" s="133">
        <v>7208.4</v>
      </c>
      <c r="N22" s="121">
        <v>222.9</v>
      </c>
      <c r="O22" s="121"/>
      <c r="P22" s="121"/>
      <c r="Q22" s="133">
        <v>7208.4</v>
      </c>
      <c r="R22" s="121">
        <v>222.9</v>
      </c>
      <c r="S22" s="493"/>
      <c r="T22" s="118"/>
      <c r="U22" s="118"/>
    </row>
    <row r="23" spans="1:21" s="55" customFormat="1" ht="11.25">
      <c r="A23" s="633"/>
      <c r="B23" s="356"/>
      <c r="C23" s="353"/>
      <c r="D23" s="353"/>
      <c r="E23" s="353"/>
      <c r="F23" s="355"/>
      <c r="G23" s="356"/>
      <c r="H23" s="357"/>
      <c r="I23" s="356"/>
      <c r="J23" s="356"/>
      <c r="K23" s="357"/>
      <c r="L23" s="356"/>
      <c r="M23" s="357"/>
      <c r="N23" s="356"/>
      <c r="O23" s="356"/>
      <c r="P23" s="356"/>
      <c r="Q23" s="357">
        <v>4721.1</v>
      </c>
      <c r="R23" s="356">
        <v>146</v>
      </c>
      <c r="S23" s="410"/>
      <c r="T23" s="356"/>
      <c r="U23" s="356"/>
    </row>
    <row r="24" spans="1:21" s="55" customFormat="1" ht="11.25">
      <c r="A24" s="632" t="s">
        <v>196</v>
      </c>
      <c r="B24" s="121"/>
      <c r="C24" s="492"/>
      <c r="D24" s="492"/>
      <c r="E24" s="492"/>
      <c r="F24" s="120"/>
      <c r="G24" s="121"/>
      <c r="H24" s="133">
        <v>340280.9</v>
      </c>
      <c r="I24" s="121">
        <v>10524.1</v>
      </c>
      <c r="J24" s="121"/>
      <c r="K24" s="133">
        <v>7384.3</v>
      </c>
      <c r="L24" s="121"/>
      <c r="M24" s="133">
        <v>0</v>
      </c>
      <c r="N24" s="121">
        <v>0</v>
      </c>
      <c r="O24" s="121"/>
      <c r="P24" s="121"/>
      <c r="Q24" s="133">
        <v>0</v>
      </c>
      <c r="R24" s="121">
        <v>0</v>
      </c>
      <c r="S24" s="493"/>
      <c r="T24" s="118"/>
      <c r="U24" s="118"/>
    </row>
    <row r="25" spans="1:21" s="55" customFormat="1" ht="11.25">
      <c r="A25" s="633"/>
      <c r="B25" s="356"/>
      <c r="C25" s="353"/>
      <c r="D25" s="353"/>
      <c r="E25" s="353"/>
      <c r="F25" s="355"/>
      <c r="G25" s="356"/>
      <c r="H25" s="357"/>
      <c r="I25" s="356"/>
      <c r="J25" s="356"/>
      <c r="K25" s="357"/>
      <c r="L25" s="356"/>
      <c r="M25" s="357"/>
      <c r="N25" s="356"/>
      <c r="O25" s="356"/>
      <c r="P25" s="356"/>
      <c r="Q25" s="357">
        <v>53963.4</v>
      </c>
      <c r="R25" s="356">
        <v>1669</v>
      </c>
      <c r="S25" s="410"/>
      <c r="T25" s="356"/>
      <c r="U25" s="356"/>
    </row>
    <row r="26" spans="1:21" s="22" customFormat="1" ht="12.75">
      <c r="A26" s="494" t="s">
        <v>242</v>
      </c>
      <c r="B26" s="103" t="s">
        <v>221</v>
      </c>
      <c r="C26" s="378" t="s">
        <v>231</v>
      </c>
      <c r="D26" s="378" t="s">
        <v>263</v>
      </c>
      <c r="E26" s="378" t="s">
        <v>250</v>
      </c>
      <c r="F26" s="102" t="s">
        <v>241</v>
      </c>
      <c r="G26" s="103">
        <f>SUM(H26+I26)</f>
        <v>214560.4</v>
      </c>
      <c r="H26" s="131">
        <f>202855+5268.6</f>
        <v>208123.6</v>
      </c>
      <c r="I26" s="103">
        <v>6436.8</v>
      </c>
      <c r="J26" s="103"/>
      <c r="K26" s="131">
        <f>400+2305+2347+653+695</f>
        <v>6400</v>
      </c>
      <c r="L26" s="103">
        <f>SUM(M26+N26)</f>
        <v>6185.1</v>
      </c>
      <c r="M26" s="131">
        <f>2305+2347+652.9+694.6</f>
        <v>5999.5</v>
      </c>
      <c r="N26" s="103">
        <v>185.6</v>
      </c>
      <c r="O26" s="103"/>
      <c r="P26" s="103">
        <f>Q26+R26</f>
        <v>6185.1</v>
      </c>
      <c r="Q26" s="247">
        <v>5999.5</v>
      </c>
      <c r="R26" s="112">
        <v>185.6</v>
      </c>
      <c r="S26" s="507"/>
      <c r="T26" s="39">
        <f>SUM(M26/K26)*100</f>
        <v>93.7421875</v>
      </c>
      <c r="U26" s="39">
        <f>(P26/L26)*100</f>
        <v>100</v>
      </c>
    </row>
    <row r="27" spans="1:21" s="22" customFormat="1" ht="12.75">
      <c r="A27" s="602" t="s">
        <v>197</v>
      </c>
      <c r="B27" s="290"/>
      <c r="C27" s="336"/>
      <c r="D27" s="336"/>
      <c r="E27" s="336"/>
      <c r="F27" s="337"/>
      <c r="G27" s="290"/>
      <c r="H27" s="458"/>
      <c r="I27" s="290"/>
      <c r="J27" s="290"/>
      <c r="K27" s="458"/>
      <c r="L27" s="290"/>
      <c r="M27" s="458"/>
      <c r="N27" s="290"/>
      <c r="O27" s="290"/>
      <c r="P27" s="290"/>
      <c r="Q27" s="458">
        <v>9192.5</v>
      </c>
      <c r="R27" s="290">
        <v>284.4</v>
      </c>
      <c r="S27" s="329"/>
      <c r="T27" s="290"/>
      <c r="U27" s="290"/>
    </row>
    <row r="28" spans="1:21" s="22" customFormat="1" ht="13.5" customHeight="1">
      <c r="A28" s="494" t="s">
        <v>287</v>
      </c>
      <c r="B28" s="103" t="s">
        <v>221</v>
      </c>
      <c r="C28" s="378" t="s">
        <v>231</v>
      </c>
      <c r="D28" s="378" t="s">
        <v>263</v>
      </c>
      <c r="E28" s="378" t="s">
        <v>250</v>
      </c>
      <c r="F28" s="102" t="s">
        <v>241</v>
      </c>
      <c r="G28" s="103">
        <f>SUM(H28+I28)</f>
        <v>205633.80000000002</v>
      </c>
      <c r="H28" s="131">
        <f>H30+H32+H34</f>
        <v>199464.80000000002</v>
      </c>
      <c r="I28" s="103">
        <f>I30+I32+I34</f>
        <v>6169</v>
      </c>
      <c r="J28" s="103"/>
      <c r="K28" s="131">
        <f>K30+K32+K34</f>
        <v>75300</v>
      </c>
      <c r="L28" s="103">
        <f>SUM(M28+N28)</f>
        <v>53037.2</v>
      </c>
      <c r="M28" s="131">
        <f>M30+M32+M34</f>
        <v>51446</v>
      </c>
      <c r="N28" s="103">
        <v>1591.2</v>
      </c>
      <c r="O28" s="103"/>
      <c r="P28" s="103">
        <f>SUM(Q28+R28)</f>
        <v>53037.2</v>
      </c>
      <c r="Q28" s="131">
        <v>51446</v>
      </c>
      <c r="R28" s="103">
        <v>1591.2</v>
      </c>
      <c r="S28" s="103"/>
      <c r="T28" s="39">
        <f>SUM(M28/K28)*100</f>
        <v>68.32138114209828</v>
      </c>
      <c r="U28" s="39">
        <f>(P28/L28)*100</f>
        <v>100</v>
      </c>
    </row>
    <row r="29" spans="1:21" s="149" customFormat="1" ht="13.5" customHeight="1">
      <c r="A29" s="602" t="s">
        <v>197</v>
      </c>
      <c r="B29" s="290"/>
      <c r="C29" s="336"/>
      <c r="D29" s="336"/>
      <c r="E29" s="336"/>
      <c r="F29" s="337"/>
      <c r="G29" s="290"/>
      <c r="H29" s="458"/>
      <c r="I29" s="290"/>
      <c r="J29" s="290"/>
      <c r="K29" s="458"/>
      <c r="L29" s="290"/>
      <c r="M29" s="458"/>
      <c r="N29" s="290"/>
      <c r="O29" s="290"/>
      <c r="P29" s="290"/>
      <c r="Q29" s="458">
        <f>Q31+Q33+Q35</f>
        <v>32540.9</v>
      </c>
      <c r="R29" s="290">
        <f>R31+R33+R35</f>
        <v>1006.4000000000001</v>
      </c>
      <c r="S29" s="290"/>
      <c r="T29" s="290"/>
      <c r="U29" s="290"/>
    </row>
    <row r="30" spans="1:21" s="55" customFormat="1" ht="22.5" customHeight="1">
      <c r="A30" s="628" t="s">
        <v>375</v>
      </c>
      <c r="B30" s="121"/>
      <c r="C30" s="492"/>
      <c r="D30" s="492"/>
      <c r="E30" s="492"/>
      <c r="F30" s="120"/>
      <c r="G30" s="121"/>
      <c r="H30" s="133">
        <f>94052.3-16488.2</f>
        <v>77564.1</v>
      </c>
      <c r="I30" s="121">
        <v>2398.9</v>
      </c>
      <c r="J30" s="121"/>
      <c r="K30" s="133">
        <v>41800</v>
      </c>
      <c r="L30" s="121"/>
      <c r="M30" s="133">
        <v>41800</v>
      </c>
      <c r="N30" s="121">
        <v>1292.8</v>
      </c>
      <c r="O30" s="121"/>
      <c r="P30" s="121"/>
      <c r="Q30" s="133">
        <v>41800</v>
      </c>
      <c r="R30" s="121">
        <v>1292.8</v>
      </c>
      <c r="S30" s="121"/>
      <c r="T30" s="118"/>
      <c r="U30" s="118"/>
    </row>
    <row r="31" spans="1:21" s="55" customFormat="1" ht="12.75" customHeight="1">
      <c r="A31" s="628"/>
      <c r="B31" s="356"/>
      <c r="C31" s="353"/>
      <c r="D31" s="353"/>
      <c r="E31" s="353"/>
      <c r="F31" s="355"/>
      <c r="G31" s="356"/>
      <c r="H31" s="357"/>
      <c r="I31" s="356"/>
      <c r="J31" s="356"/>
      <c r="K31" s="357"/>
      <c r="L31" s="356"/>
      <c r="M31" s="357"/>
      <c r="N31" s="356"/>
      <c r="O31" s="356"/>
      <c r="P31" s="356"/>
      <c r="Q31" s="357">
        <v>6036</v>
      </c>
      <c r="R31" s="356">
        <v>186.7</v>
      </c>
      <c r="S31" s="356"/>
      <c r="T31" s="356"/>
      <c r="U31" s="356"/>
    </row>
    <row r="32" spans="1:21" s="55" customFormat="1" ht="24" customHeight="1">
      <c r="A32" s="628" t="s">
        <v>376</v>
      </c>
      <c r="B32" s="121"/>
      <c r="C32" s="492"/>
      <c r="D32" s="492"/>
      <c r="E32" s="492"/>
      <c r="F32" s="120"/>
      <c r="G32" s="121"/>
      <c r="H32" s="133">
        <v>40456.6</v>
      </c>
      <c r="I32" s="121">
        <v>1251.2</v>
      </c>
      <c r="J32" s="121"/>
      <c r="K32" s="133">
        <v>15500</v>
      </c>
      <c r="L32" s="121"/>
      <c r="M32" s="133">
        <v>9646</v>
      </c>
      <c r="N32" s="121">
        <v>298.4</v>
      </c>
      <c r="O32" s="121"/>
      <c r="P32" s="121"/>
      <c r="Q32" s="133">
        <v>9646</v>
      </c>
      <c r="R32" s="121">
        <v>298.4</v>
      </c>
      <c r="S32" s="121"/>
      <c r="T32" s="118"/>
      <c r="U32" s="118"/>
    </row>
    <row r="33" spans="1:21" s="55" customFormat="1" ht="13.5" customHeight="1">
      <c r="A33" s="628"/>
      <c r="B33" s="356"/>
      <c r="C33" s="353"/>
      <c r="D33" s="353"/>
      <c r="E33" s="353"/>
      <c r="F33" s="355"/>
      <c r="G33" s="356"/>
      <c r="H33" s="357"/>
      <c r="I33" s="356"/>
      <c r="J33" s="356"/>
      <c r="K33" s="357"/>
      <c r="L33" s="356"/>
      <c r="M33" s="357"/>
      <c r="N33" s="356"/>
      <c r="O33" s="356"/>
      <c r="P33" s="356"/>
      <c r="Q33" s="357">
        <v>12643.4</v>
      </c>
      <c r="R33" s="356">
        <v>391</v>
      </c>
      <c r="S33" s="356"/>
      <c r="T33" s="356"/>
      <c r="U33" s="356"/>
    </row>
    <row r="34" spans="1:21" s="55" customFormat="1" ht="23.25" customHeight="1">
      <c r="A34" s="358" t="s">
        <v>377</v>
      </c>
      <c r="B34" s="121"/>
      <c r="C34" s="492"/>
      <c r="D34" s="492"/>
      <c r="E34" s="492"/>
      <c r="F34" s="120"/>
      <c r="G34" s="121"/>
      <c r="H34" s="133">
        <f>97932.3-16488.2</f>
        <v>81444.1</v>
      </c>
      <c r="I34" s="121">
        <v>2518.9</v>
      </c>
      <c r="J34" s="121"/>
      <c r="K34" s="133">
        <v>18000</v>
      </c>
      <c r="L34" s="121"/>
      <c r="M34" s="133">
        <v>0</v>
      </c>
      <c r="N34" s="121">
        <v>0</v>
      </c>
      <c r="O34" s="121"/>
      <c r="P34" s="121"/>
      <c r="Q34" s="133">
        <v>0</v>
      </c>
      <c r="R34" s="121">
        <v>0</v>
      </c>
      <c r="S34" s="121"/>
      <c r="T34" s="118"/>
      <c r="U34" s="118"/>
    </row>
    <row r="35" spans="1:21" ht="22.5">
      <c r="A35" s="508" t="s">
        <v>379</v>
      </c>
      <c r="B35" s="290"/>
      <c r="C35" s="336"/>
      <c r="D35" s="336"/>
      <c r="E35" s="336"/>
      <c r="F35" s="336"/>
      <c r="G35" s="290"/>
      <c r="H35" s="458"/>
      <c r="I35" s="290"/>
      <c r="J35" s="290"/>
      <c r="K35" s="458"/>
      <c r="L35" s="290"/>
      <c r="M35" s="458"/>
      <c r="N35" s="290"/>
      <c r="O35" s="290"/>
      <c r="P35" s="356"/>
      <c r="Q35" s="357">
        <v>13861.5</v>
      </c>
      <c r="R35" s="356">
        <v>428.7</v>
      </c>
      <c r="S35" s="356"/>
      <c r="T35" s="356"/>
      <c r="U35" s="356"/>
    </row>
    <row r="36" spans="1:21" ht="40.5">
      <c r="A36" s="478" t="s">
        <v>222</v>
      </c>
      <c r="B36" s="130" t="s">
        <v>223</v>
      </c>
      <c r="C36" s="479"/>
      <c r="D36" s="130"/>
      <c r="E36" s="479"/>
      <c r="F36" s="479"/>
      <c r="G36" s="132">
        <f aca="true" t="shared" si="9" ref="G36:S36">G38</f>
        <v>593392.6</v>
      </c>
      <c r="H36" s="132">
        <f t="shared" si="9"/>
        <v>593149.1</v>
      </c>
      <c r="I36" s="132">
        <f t="shared" si="9"/>
        <v>243.5</v>
      </c>
      <c r="J36" s="132">
        <f t="shared" si="9"/>
        <v>0</v>
      </c>
      <c r="K36" s="132">
        <f t="shared" si="9"/>
        <v>119642.8</v>
      </c>
      <c r="L36" s="132">
        <f t="shared" si="9"/>
        <v>71300.5</v>
      </c>
      <c r="M36" s="132">
        <f t="shared" si="9"/>
        <v>71236.1</v>
      </c>
      <c r="N36" s="132">
        <f t="shared" si="9"/>
        <v>64.4</v>
      </c>
      <c r="O36" s="132">
        <f t="shared" si="9"/>
        <v>0</v>
      </c>
      <c r="P36" s="132">
        <f t="shared" si="9"/>
        <v>71300.4</v>
      </c>
      <c r="Q36" s="132">
        <f t="shared" si="9"/>
        <v>71236.1</v>
      </c>
      <c r="R36" s="132">
        <f t="shared" si="9"/>
        <v>64.4</v>
      </c>
      <c r="S36" s="132">
        <f t="shared" si="9"/>
        <v>0</v>
      </c>
      <c r="T36" s="132">
        <f>M36/K36*100</f>
        <v>59.54064933284745</v>
      </c>
      <c r="U36" s="132">
        <f>(P36/L36)*100</f>
        <v>99.9998597485291</v>
      </c>
    </row>
    <row r="37" spans="1:21" s="149" customFormat="1" ht="12.75">
      <c r="A37" s="514" t="s">
        <v>374</v>
      </c>
      <c r="B37" s="515"/>
      <c r="C37" s="516"/>
      <c r="D37" s="515"/>
      <c r="E37" s="516"/>
      <c r="F37" s="516"/>
      <c r="G37" s="517"/>
      <c r="H37" s="517"/>
      <c r="I37" s="517"/>
      <c r="J37" s="517"/>
      <c r="K37" s="517"/>
      <c r="L37" s="517"/>
      <c r="M37" s="517"/>
      <c r="N37" s="517"/>
      <c r="O37" s="517"/>
      <c r="P37" s="517">
        <f>Q37+R37</f>
        <v>1394.6</v>
      </c>
      <c r="Q37" s="517">
        <f>Q60</f>
        <v>1352.8</v>
      </c>
      <c r="R37" s="517">
        <f>R60</f>
        <v>41.8</v>
      </c>
      <c r="S37" s="517"/>
      <c r="T37" s="517"/>
      <c r="U37" s="515"/>
    </row>
    <row r="38" spans="1:21" ht="40.5">
      <c r="A38" s="79" t="s">
        <v>230</v>
      </c>
      <c r="B38" s="39" t="s">
        <v>223</v>
      </c>
      <c r="C38" s="82" t="s">
        <v>231</v>
      </c>
      <c r="D38" s="39"/>
      <c r="E38" s="81"/>
      <c r="F38" s="81"/>
      <c r="G38" s="39">
        <f aca="true" t="shared" si="10" ref="G38:S39">SUM(G39)</f>
        <v>593392.6</v>
      </c>
      <c r="H38" s="130">
        <f t="shared" si="10"/>
        <v>593149.1</v>
      </c>
      <c r="I38" s="39">
        <f t="shared" si="10"/>
        <v>243.5</v>
      </c>
      <c r="J38" s="39">
        <f t="shared" si="10"/>
        <v>0</v>
      </c>
      <c r="K38" s="130">
        <f t="shared" si="10"/>
        <v>119642.8</v>
      </c>
      <c r="L38" s="39">
        <f t="shared" si="10"/>
        <v>71300.5</v>
      </c>
      <c r="M38" s="130">
        <f>SUM(M39)</f>
        <v>71236.1</v>
      </c>
      <c r="N38" s="39">
        <f t="shared" si="10"/>
        <v>64.4</v>
      </c>
      <c r="O38" s="39">
        <f t="shared" si="10"/>
        <v>0</v>
      </c>
      <c r="P38" s="39">
        <f t="shared" si="10"/>
        <v>71300.4</v>
      </c>
      <c r="Q38" s="130">
        <f>SUM(Q39)</f>
        <v>71236.1</v>
      </c>
      <c r="R38" s="39">
        <f t="shared" si="10"/>
        <v>64.4</v>
      </c>
      <c r="S38" s="39">
        <f t="shared" si="10"/>
        <v>0</v>
      </c>
      <c r="T38" s="110">
        <f>M38/K38*100</f>
        <v>59.54064933284745</v>
      </c>
      <c r="U38" s="110">
        <f>(P38/L38)*100</f>
        <v>99.9998597485291</v>
      </c>
    </row>
    <row r="39" spans="1:21" ht="12.75">
      <c r="A39" s="83" t="s">
        <v>264</v>
      </c>
      <c r="B39" s="39" t="s">
        <v>223</v>
      </c>
      <c r="C39" s="80" t="s">
        <v>231</v>
      </c>
      <c r="D39" s="80" t="s">
        <v>263</v>
      </c>
      <c r="E39" s="80"/>
      <c r="F39" s="80"/>
      <c r="G39" s="39">
        <f t="shared" si="10"/>
        <v>593392.6</v>
      </c>
      <c r="H39" s="130">
        <f t="shared" si="10"/>
        <v>593149.1</v>
      </c>
      <c r="I39" s="39">
        <f t="shared" si="10"/>
        <v>243.5</v>
      </c>
      <c r="J39" s="39">
        <f t="shared" si="10"/>
        <v>0</v>
      </c>
      <c r="K39" s="130">
        <f t="shared" si="10"/>
        <v>119642.8</v>
      </c>
      <c r="L39" s="39">
        <f t="shared" si="10"/>
        <v>71300.5</v>
      </c>
      <c r="M39" s="130">
        <f t="shared" si="10"/>
        <v>71236.1</v>
      </c>
      <c r="N39" s="39">
        <f t="shared" si="10"/>
        <v>64.4</v>
      </c>
      <c r="O39" s="39">
        <f t="shared" si="10"/>
        <v>0</v>
      </c>
      <c r="P39" s="39">
        <f t="shared" si="10"/>
        <v>71300.4</v>
      </c>
      <c r="Q39" s="130">
        <f t="shared" si="10"/>
        <v>71236.1</v>
      </c>
      <c r="R39" s="39">
        <f t="shared" si="10"/>
        <v>64.4</v>
      </c>
      <c r="S39" s="39">
        <f t="shared" si="10"/>
        <v>0</v>
      </c>
      <c r="T39" s="110"/>
      <c r="U39" s="110"/>
    </row>
    <row r="40" spans="1:21" ht="12.75">
      <c r="A40" s="83" t="s">
        <v>284</v>
      </c>
      <c r="B40" s="39" t="s">
        <v>223</v>
      </c>
      <c r="C40" s="80" t="s">
        <v>231</v>
      </c>
      <c r="D40" s="80" t="s">
        <v>263</v>
      </c>
      <c r="E40" s="80" t="s">
        <v>250</v>
      </c>
      <c r="F40" s="80"/>
      <c r="G40" s="39">
        <f aca="true" t="shared" si="11" ref="G40:S40">SUM(G41+G57)</f>
        <v>593392.6</v>
      </c>
      <c r="H40" s="130">
        <f t="shared" si="11"/>
        <v>593149.1</v>
      </c>
      <c r="I40" s="39">
        <f t="shared" si="11"/>
        <v>243.5</v>
      </c>
      <c r="J40" s="39">
        <f t="shared" si="11"/>
        <v>0</v>
      </c>
      <c r="K40" s="130">
        <f t="shared" si="11"/>
        <v>119642.8</v>
      </c>
      <c r="L40" s="39">
        <f t="shared" si="11"/>
        <v>71300.5</v>
      </c>
      <c r="M40" s="130">
        <f>SUM(M41+M57)</f>
        <v>71236.1</v>
      </c>
      <c r="N40" s="39">
        <f t="shared" si="11"/>
        <v>64.4</v>
      </c>
      <c r="O40" s="39">
        <f t="shared" si="11"/>
        <v>0</v>
      </c>
      <c r="P40" s="39">
        <f t="shared" si="11"/>
        <v>71300.4</v>
      </c>
      <c r="Q40" s="130">
        <f>SUM(Q41+Q57+0.1)</f>
        <v>71236.1</v>
      </c>
      <c r="R40" s="39">
        <f t="shared" si="11"/>
        <v>64.4</v>
      </c>
      <c r="S40" s="39">
        <f t="shared" si="11"/>
        <v>0</v>
      </c>
      <c r="T40" s="110"/>
      <c r="U40" s="110"/>
    </row>
    <row r="41" spans="1:21" ht="12.75">
      <c r="A41" s="83" t="s">
        <v>257</v>
      </c>
      <c r="B41" s="39" t="s">
        <v>223</v>
      </c>
      <c r="C41" s="80" t="s">
        <v>231</v>
      </c>
      <c r="D41" s="80" t="s">
        <v>263</v>
      </c>
      <c r="E41" s="80" t="s">
        <v>250</v>
      </c>
      <c r="F41" s="80" t="s">
        <v>258</v>
      </c>
      <c r="G41" s="39">
        <f aca="true" t="shared" si="12" ref="G41:S41">SUM(G42+G45)</f>
        <v>585276.9</v>
      </c>
      <c r="H41" s="130">
        <f t="shared" si="12"/>
        <v>585276.9</v>
      </c>
      <c r="I41" s="39">
        <f t="shared" si="12"/>
        <v>0</v>
      </c>
      <c r="J41" s="39">
        <f t="shared" si="12"/>
        <v>0</v>
      </c>
      <c r="K41" s="130">
        <f t="shared" si="12"/>
        <v>116687.2</v>
      </c>
      <c r="L41" s="39">
        <f t="shared" si="12"/>
        <v>69154.3</v>
      </c>
      <c r="M41" s="130">
        <f t="shared" si="12"/>
        <v>69154.3</v>
      </c>
      <c r="N41" s="39">
        <f t="shared" si="12"/>
        <v>0</v>
      </c>
      <c r="O41" s="39">
        <f t="shared" si="12"/>
        <v>0</v>
      </c>
      <c r="P41" s="39">
        <f t="shared" si="12"/>
        <v>69154.2</v>
      </c>
      <c r="Q41" s="130">
        <f t="shared" si="12"/>
        <v>69154.2</v>
      </c>
      <c r="R41" s="39">
        <f t="shared" si="12"/>
        <v>0</v>
      </c>
      <c r="S41" s="39">
        <f t="shared" si="12"/>
        <v>0</v>
      </c>
      <c r="T41" s="110">
        <f>M41/K41*100</f>
        <v>59.26468370138285</v>
      </c>
      <c r="U41" s="110">
        <f>(P41/L41)*100</f>
        <v>99.99985539583221</v>
      </c>
    </row>
    <row r="42" spans="1:21" ht="26.25" customHeight="1">
      <c r="A42" s="502" t="s">
        <v>230</v>
      </c>
      <c r="B42" s="103" t="s">
        <v>223</v>
      </c>
      <c r="C42" s="378" t="s">
        <v>231</v>
      </c>
      <c r="D42" s="378" t="s">
        <v>263</v>
      </c>
      <c r="E42" s="378" t="s">
        <v>250</v>
      </c>
      <c r="F42" s="378" t="s">
        <v>258</v>
      </c>
      <c r="G42" s="113">
        <f>SUM(H42+I42)</f>
        <v>4957.700000000001</v>
      </c>
      <c r="H42" s="131">
        <f>H43+H44</f>
        <v>4957.700000000001</v>
      </c>
      <c r="I42" s="113">
        <v>0</v>
      </c>
      <c r="J42" s="113">
        <v>0</v>
      </c>
      <c r="K42" s="131">
        <f>K43+K44</f>
        <v>0</v>
      </c>
      <c r="L42" s="113">
        <f>SUM(M42+N42)</f>
        <v>0</v>
      </c>
      <c r="M42" s="131">
        <f>M43+M44</f>
        <v>0</v>
      </c>
      <c r="N42" s="113">
        <v>0</v>
      </c>
      <c r="O42" s="113">
        <v>0</v>
      </c>
      <c r="P42" s="113">
        <f>SUM(Q42+R42)</f>
        <v>0</v>
      </c>
      <c r="Q42" s="131">
        <f>Q43+Q44</f>
        <v>0</v>
      </c>
      <c r="R42" s="113">
        <v>0</v>
      </c>
      <c r="S42" s="113">
        <v>0</v>
      </c>
      <c r="T42" s="505"/>
      <c r="U42" s="505"/>
    </row>
    <row r="43" spans="1:21" s="23" customFormat="1" ht="26.25" customHeight="1">
      <c r="A43" s="358" t="s">
        <v>360</v>
      </c>
      <c r="B43" s="121"/>
      <c r="C43" s="492"/>
      <c r="D43" s="492"/>
      <c r="E43" s="492"/>
      <c r="F43" s="492"/>
      <c r="G43" s="503"/>
      <c r="H43" s="133">
        <v>2286.8</v>
      </c>
      <c r="I43" s="503"/>
      <c r="J43" s="503"/>
      <c r="K43" s="133">
        <v>0</v>
      </c>
      <c r="L43" s="503"/>
      <c r="M43" s="133">
        <v>0</v>
      </c>
      <c r="N43" s="503"/>
      <c r="O43" s="503"/>
      <c r="P43" s="503"/>
      <c r="Q43" s="133">
        <v>0</v>
      </c>
      <c r="R43" s="503"/>
      <c r="S43" s="503"/>
      <c r="T43" s="503"/>
      <c r="U43" s="503"/>
    </row>
    <row r="44" spans="1:21" s="23" customFormat="1" ht="24.75" customHeight="1">
      <c r="A44" s="358" t="s">
        <v>361</v>
      </c>
      <c r="B44" s="121"/>
      <c r="C44" s="492"/>
      <c r="D44" s="492"/>
      <c r="E44" s="492"/>
      <c r="F44" s="492"/>
      <c r="G44" s="503"/>
      <c r="H44" s="133">
        <v>2670.9</v>
      </c>
      <c r="I44" s="503"/>
      <c r="J44" s="503"/>
      <c r="K44" s="133">
        <v>0</v>
      </c>
      <c r="L44" s="503"/>
      <c r="M44" s="133">
        <v>0</v>
      </c>
      <c r="N44" s="503"/>
      <c r="O44" s="503"/>
      <c r="P44" s="503"/>
      <c r="Q44" s="133">
        <v>0</v>
      </c>
      <c r="R44" s="503"/>
      <c r="S44" s="503"/>
      <c r="T44" s="503"/>
      <c r="U44" s="503"/>
    </row>
    <row r="45" spans="1:21" ht="12.75">
      <c r="A45" s="502" t="s">
        <v>140</v>
      </c>
      <c r="B45" s="103" t="s">
        <v>223</v>
      </c>
      <c r="C45" s="378" t="s">
        <v>231</v>
      </c>
      <c r="D45" s="378" t="s">
        <v>263</v>
      </c>
      <c r="E45" s="378" t="s">
        <v>250</v>
      </c>
      <c r="F45" s="378" t="s">
        <v>258</v>
      </c>
      <c r="G45" s="103">
        <f>SUM(H45+I45+J45)</f>
        <v>580319.2000000001</v>
      </c>
      <c r="H45" s="131">
        <f>H46+H47+H48+H49+H50+H51+H52+H53+H54+H55+H56</f>
        <v>580319.2000000001</v>
      </c>
      <c r="I45" s="103">
        <v>0</v>
      </c>
      <c r="J45" s="103">
        <v>0</v>
      </c>
      <c r="K45" s="131">
        <f>K46+K47+K48+K49+K50+K51+K52+K53+K54+K55+K56</f>
        <v>116687.2</v>
      </c>
      <c r="L45" s="103">
        <f>SUM(M45+N45+O45)</f>
        <v>69154.3</v>
      </c>
      <c r="M45" s="131">
        <f>M46+M47+M48+M49+M50+M51+M52+M53+M54+M55+M56</f>
        <v>69154.3</v>
      </c>
      <c r="N45" s="103">
        <v>0</v>
      </c>
      <c r="O45" s="103">
        <v>0</v>
      </c>
      <c r="P45" s="103">
        <f>SUM(Q45+R45+S45)</f>
        <v>69154.2</v>
      </c>
      <c r="Q45" s="131">
        <f>Q46+Q47+Q48+Q49+Q50+Q51+Q52+Q53+Q54+Q55+Q56</f>
        <v>69154.2</v>
      </c>
      <c r="R45" s="103">
        <v>0</v>
      </c>
      <c r="S45" s="103">
        <v>0</v>
      </c>
      <c r="T45" s="505">
        <f>M45/K45*100</f>
        <v>59.26468370138285</v>
      </c>
      <c r="U45" s="505">
        <f>Q45/M45*100</f>
        <v>99.99985539583221</v>
      </c>
    </row>
    <row r="46" spans="1:21" s="23" customFormat="1" ht="11.25">
      <c r="A46" s="358" t="s">
        <v>362</v>
      </c>
      <c r="B46" s="121"/>
      <c r="C46" s="492"/>
      <c r="D46" s="492"/>
      <c r="E46" s="492"/>
      <c r="F46" s="492"/>
      <c r="G46" s="121"/>
      <c r="H46" s="133">
        <v>50233.2</v>
      </c>
      <c r="I46" s="121"/>
      <c r="J46" s="121"/>
      <c r="K46" s="133">
        <v>30000</v>
      </c>
      <c r="L46" s="121"/>
      <c r="M46" s="133">
        <v>18074.7</v>
      </c>
      <c r="N46" s="121"/>
      <c r="O46" s="121"/>
      <c r="P46" s="503"/>
      <c r="Q46" s="133">
        <v>18074.7</v>
      </c>
      <c r="R46" s="503"/>
      <c r="S46" s="121"/>
      <c r="T46" s="121"/>
      <c r="U46" s="121"/>
    </row>
    <row r="47" spans="1:21" s="23" customFormat="1" ht="22.5">
      <c r="A47" s="358" t="s">
        <v>363</v>
      </c>
      <c r="B47" s="121"/>
      <c r="C47" s="492"/>
      <c r="D47" s="492"/>
      <c r="E47" s="492"/>
      <c r="F47" s="492"/>
      <c r="G47" s="121"/>
      <c r="H47" s="133">
        <v>229973.6</v>
      </c>
      <c r="I47" s="121"/>
      <c r="J47" s="121"/>
      <c r="K47" s="133">
        <v>29832.2</v>
      </c>
      <c r="L47" s="121"/>
      <c r="M47" s="133">
        <v>23295.5</v>
      </c>
      <c r="N47" s="121"/>
      <c r="O47" s="121"/>
      <c r="P47" s="503"/>
      <c r="Q47" s="133">
        <v>23295.5</v>
      </c>
      <c r="R47" s="503"/>
      <c r="S47" s="121"/>
      <c r="T47" s="121"/>
      <c r="U47" s="121"/>
    </row>
    <row r="48" spans="1:21" s="23" customFormat="1" ht="22.5">
      <c r="A48" s="358" t="s">
        <v>364</v>
      </c>
      <c r="B48" s="121"/>
      <c r="C48" s="492"/>
      <c r="D48" s="492"/>
      <c r="E48" s="492"/>
      <c r="F48" s="492"/>
      <c r="G48" s="121"/>
      <c r="H48" s="133">
        <v>175955.6</v>
      </c>
      <c r="I48" s="121"/>
      <c r="J48" s="121"/>
      <c r="K48" s="133">
        <v>24500</v>
      </c>
      <c r="L48" s="121"/>
      <c r="M48" s="133">
        <v>21890.4</v>
      </c>
      <c r="N48" s="121"/>
      <c r="O48" s="121"/>
      <c r="P48" s="503"/>
      <c r="Q48" s="133">
        <v>21890.3</v>
      </c>
      <c r="R48" s="503"/>
      <c r="S48" s="121"/>
      <c r="T48" s="121"/>
      <c r="U48" s="121"/>
    </row>
    <row r="49" spans="1:21" s="23" customFormat="1" ht="22.5">
      <c r="A49" s="358" t="s">
        <v>365</v>
      </c>
      <c r="B49" s="121"/>
      <c r="C49" s="492"/>
      <c r="D49" s="492"/>
      <c r="E49" s="492"/>
      <c r="F49" s="492"/>
      <c r="G49" s="121"/>
      <c r="H49" s="133">
        <v>485</v>
      </c>
      <c r="I49" s="121"/>
      <c r="J49" s="121"/>
      <c r="K49" s="133">
        <v>485</v>
      </c>
      <c r="L49" s="121"/>
      <c r="M49" s="133">
        <v>0</v>
      </c>
      <c r="N49" s="121"/>
      <c r="O49" s="121"/>
      <c r="P49" s="503"/>
      <c r="Q49" s="133">
        <v>0</v>
      </c>
      <c r="R49" s="503"/>
      <c r="S49" s="121"/>
      <c r="T49" s="121"/>
      <c r="U49" s="121"/>
    </row>
    <row r="50" spans="1:21" s="23" customFormat="1" ht="11.25">
      <c r="A50" s="358" t="s">
        <v>366</v>
      </c>
      <c r="B50" s="121"/>
      <c r="C50" s="492"/>
      <c r="D50" s="492"/>
      <c r="E50" s="492"/>
      <c r="F50" s="492"/>
      <c r="G50" s="121"/>
      <c r="H50" s="133">
        <f>42739.2+9450.1</f>
        <v>52189.299999999996</v>
      </c>
      <c r="I50" s="121"/>
      <c r="J50" s="121"/>
      <c r="K50" s="133">
        <v>16870</v>
      </c>
      <c r="L50" s="121"/>
      <c r="M50" s="133">
        <v>5893.7</v>
      </c>
      <c r="N50" s="121"/>
      <c r="O50" s="121"/>
      <c r="P50" s="503"/>
      <c r="Q50" s="133">
        <v>5893.7</v>
      </c>
      <c r="R50" s="503"/>
      <c r="S50" s="121"/>
      <c r="T50" s="121"/>
      <c r="U50" s="121"/>
    </row>
    <row r="51" spans="1:21" s="23" customFormat="1" ht="11.25">
      <c r="A51" s="358" t="s">
        <v>367</v>
      </c>
      <c r="B51" s="121"/>
      <c r="C51" s="492"/>
      <c r="D51" s="492"/>
      <c r="E51" s="492"/>
      <c r="F51" s="492"/>
      <c r="G51" s="121"/>
      <c r="H51" s="133">
        <v>47739.2</v>
      </c>
      <c r="I51" s="121"/>
      <c r="J51" s="121"/>
      <c r="K51" s="133">
        <v>0</v>
      </c>
      <c r="L51" s="121"/>
      <c r="M51" s="133">
        <v>0</v>
      </c>
      <c r="N51" s="121"/>
      <c r="O51" s="121"/>
      <c r="P51" s="503"/>
      <c r="Q51" s="133">
        <v>0</v>
      </c>
      <c r="R51" s="503"/>
      <c r="S51" s="121"/>
      <c r="T51" s="121"/>
      <c r="U51" s="121"/>
    </row>
    <row r="52" spans="1:21" s="23" customFormat="1" ht="22.5">
      <c r="A52" s="358" t="s">
        <v>368</v>
      </c>
      <c r="B52" s="121"/>
      <c r="C52" s="492"/>
      <c r="D52" s="492"/>
      <c r="E52" s="492"/>
      <c r="F52" s="492"/>
      <c r="G52" s="121"/>
      <c r="H52" s="133">
        <v>15000</v>
      </c>
      <c r="I52" s="121"/>
      <c r="J52" s="121"/>
      <c r="K52" s="133">
        <v>15000</v>
      </c>
      <c r="L52" s="121"/>
      <c r="M52" s="133">
        <v>0</v>
      </c>
      <c r="N52" s="121"/>
      <c r="O52" s="121"/>
      <c r="P52" s="503"/>
      <c r="Q52" s="133">
        <v>0</v>
      </c>
      <c r="R52" s="503"/>
      <c r="S52" s="121"/>
      <c r="T52" s="121"/>
      <c r="U52" s="121"/>
    </row>
    <row r="53" spans="1:21" s="23" customFormat="1" ht="22.5">
      <c r="A53" s="358" t="s">
        <v>369</v>
      </c>
      <c r="B53" s="121"/>
      <c r="C53" s="492"/>
      <c r="D53" s="492"/>
      <c r="E53" s="492"/>
      <c r="F53" s="492"/>
      <c r="G53" s="121"/>
      <c r="H53" s="133">
        <v>4094.3</v>
      </c>
      <c r="I53" s="121"/>
      <c r="J53" s="121"/>
      <c r="K53" s="133">
        <v>0</v>
      </c>
      <c r="L53" s="121"/>
      <c r="M53" s="133">
        <v>0</v>
      </c>
      <c r="N53" s="121"/>
      <c r="O53" s="121"/>
      <c r="P53" s="503"/>
      <c r="Q53" s="133">
        <v>0</v>
      </c>
      <c r="R53" s="503"/>
      <c r="S53" s="121"/>
      <c r="T53" s="121"/>
      <c r="U53" s="121"/>
    </row>
    <row r="54" spans="1:21" s="23" customFormat="1" ht="22.5">
      <c r="A54" s="358" t="s">
        <v>370</v>
      </c>
      <c r="B54" s="121"/>
      <c r="C54" s="492"/>
      <c r="D54" s="492"/>
      <c r="E54" s="492"/>
      <c r="F54" s="492"/>
      <c r="G54" s="121"/>
      <c r="H54" s="133">
        <v>4094.3</v>
      </c>
      <c r="I54" s="121"/>
      <c r="J54" s="121"/>
      <c r="K54" s="133">
        <v>0</v>
      </c>
      <c r="L54" s="121"/>
      <c r="M54" s="133">
        <v>0</v>
      </c>
      <c r="N54" s="121"/>
      <c r="O54" s="121"/>
      <c r="P54" s="503"/>
      <c r="Q54" s="133">
        <v>0</v>
      </c>
      <c r="R54" s="503"/>
      <c r="S54" s="121"/>
      <c r="T54" s="121"/>
      <c r="U54" s="121"/>
    </row>
    <row r="55" spans="1:21" s="23" customFormat="1" ht="22.5">
      <c r="A55" s="358" t="s">
        <v>371</v>
      </c>
      <c r="B55" s="121"/>
      <c r="C55" s="492"/>
      <c r="D55" s="492"/>
      <c r="E55" s="492"/>
      <c r="F55" s="492"/>
      <c r="G55" s="121"/>
      <c r="H55" s="133">
        <v>242.2</v>
      </c>
      <c r="I55" s="121"/>
      <c r="J55" s="121"/>
      <c r="K55" s="133">
        <v>0</v>
      </c>
      <c r="L55" s="121"/>
      <c r="M55" s="133">
        <v>0</v>
      </c>
      <c r="N55" s="121"/>
      <c r="O55" s="121"/>
      <c r="P55" s="503"/>
      <c r="Q55" s="133">
        <v>0</v>
      </c>
      <c r="R55" s="503"/>
      <c r="S55" s="121"/>
      <c r="T55" s="121"/>
      <c r="U55" s="121"/>
    </row>
    <row r="56" spans="1:21" s="23" customFormat="1" ht="21.75" customHeight="1">
      <c r="A56" s="358" t="s">
        <v>372</v>
      </c>
      <c r="B56" s="121"/>
      <c r="C56" s="492"/>
      <c r="D56" s="492"/>
      <c r="E56" s="492"/>
      <c r="F56" s="492"/>
      <c r="G56" s="121"/>
      <c r="H56" s="133">
        <v>312.5</v>
      </c>
      <c r="I56" s="121"/>
      <c r="J56" s="121"/>
      <c r="K56" s="133">
        <v>0</v>
      </c>
      <c r="L56" s="121"/>
      <c r="M56" s="133">
        <v>0</v>
      </c>
      <c r="N56" s="121"/>
      <c r="O56" s="121"/>
      <c r="P56" s="503"/>
      <c r="Q56" s="133">
        <v>0</v>
      </c>
      <c r="R56" s="503"/>
      <c r="S56" s="121"/>
      <c r="T56" s="121"/>
      <c r="U56" s="121"/>
    </row>
    <row r="57" spans="1:21" ht="12.75">
      <c r="A57" s="41" t="s">
        <v>240</v>
      </c>
      <c r="B57" s="39" t="s">
        <v>223</v>
      </c>
      <c r="C57" s="80" t="s">
        <v>231</v>
      </c>
      <c r="D57" s="80" t="s">
        <v>263</v>
      </c>
      <c r="E57" s="80" t="s">
        <v>250</v>
      </c>
      <c r="F57" s="82" t="s">
        <v>241</v>
      </c>
      <c r="G57" s="91">
        <f aca="true" t="shared" si="13" ref="G57:S57">G58+G61</f>
        <v>8115.7</v>
      </c>
      <c r="H57" s="293">
        <f t="shared" si="13"/>
        <v>7872.200000000001</v>
      </c>
      <c r="I57" s="91">
        <f t="shared" si="13"/>
        <v>243.5</v>
      </c>
      <c r="J57" s="91">
        <f t="shared" si="13"/>
        <v>0</v>
      </c>
      <c r="K57" s="293">
        <f t="shared" si="13"/>
        <v>2955.6</v>
      </c>
      <c r="L57" s="91">
        <f>L58+L61</f>
        <v>2146.2000000000003</v>
      </c>
      <c r="M57" s="293">
        <f>M58+M61</f>
        <v>2081.8</v>
      </c>
      <c r="N57" s="91">
        <f t="shared" si="13"/>
        <v>64.4</v>
      </c>
      <c r="O57" s="91">
        <f t="shared" si="13"/>
        <v>0</v>
      </c>
      <c r="P57" s="91">
        <f t="shared" si="13"/>
        <v>2146.2000000000003</v>
      </c>
      <c r="Q57" s="293">
        <f t="shared" si="13"/>
        <v>2081.8</v>
      </c>
      <c r="R57" s="91">
        <f t="shared" si="13"/>
        <v>64.4</v>
      </c>
      <c r="S57" s="91">
        <f t="shared" si="13"/>
        <v>0</v>
      </c>
      <c r="T57" s="110">
        <f>M57/K57*100</f>
        <v>70.4357829205576</v>
      </c>
      <c r="U57" s="110">
        <f>(P57/L57)*100</f>
        <v>100</v>
      </c>
    </row>
    <row r="58" spans="1:21" s="123" customFormat="1" ht="12.75">
      <c r="A58" s="502" t="s">
        <v>245</v>
      </c>
      <c r="B58" s="103" t="s">
        <v>223</v>
      </c>
      <c r="C58" s="378" t="s">
        <v>231</v>
      </c>
      <c r="D58" s="378" t="s">
        <v>263</v>
      </c>
      <c r="E58" s="378" t="s">
        <v>250</v>
      </c>
      <c r="F58" s="102" t="s">
        <v>241</v>
      </c>
      <c r="G58" s="186">
        <f>SUM(H58+I58)</f>
        <v>5096.7</v>
      </c>
      <c r="H58" s="188">
        <f>H59</f>
        <v>4943.8</v>
      </c>
      <c r="I58" s="186">
        <f>I59</f>
        <v>152.9</v>
      </c>
      <c r="J58" s="186">
        <v>0</v>
      </c>
      <c r="K58" s="188">
        <f>K59</f>
        <v>2472</v>
      </c>
      <c r="L58" s="186">
        <f>SUM(M58+N58)</f>
        <v>1647.6000000000001</v>
      </c>
      <c r="M58" s="188">
        <f>M59</f>
        <v>1598.2</v>
      </c>
      <c r="N58" s="186">
        <f>N59</f>
        <v>49.4</v>
      </c>
      <c r="O58" s="186">
        <f>SUM(O59)</f>
        <v>0</v>
      </c>
      <c r="P58" s="186">
        <f>SUM(Q58+R58)</f>
        <v>1647.6000000000001</v>
      </c>
      <c r="Q58" s="188">
        <f>Q59</f>
        <v>1598.2</v>
      </c>
      <c r="R58" s="186">
        <f>R59</f>
        <v>49.4</v>
      </c>
      <c r="S58" s="186">
        <f>SUM(S59)</f>
        <v>0</v>
      </c>
      <c r="T58" s="505">
        <f>M58/K58*100</f>
        <v>64.65210355987055</v>
      </c>
      <c r="U58" s="505">
        <f>Q58/M58*100</f>
        <v>100</v>
      </c>
    </row>
    <row r="59" spans="1:21" s="391" customFormat="1" ht="12">
      <c r="A59" s="111" t="s">
        <v>358</v>
      </c>
      <c r="B59" s="111"/>
      <c r="C59" s="401"/>
      <c r="D59" s="401"/>
      <c r="E59" s="401"/>
      <c r="F59" s="207"/>
      <c r="G59" s="111"/>
      <c r="H59" s="134">
        <v>4943.8</v>
      </c>
      <c r="I59" s="111">
        <v>152.9</v>
      </c>
      <c r="J59" s="111"/>
      <c r="K59" s="134">
        <v>2472</v>
      </c>
      <c r="L59" s="111"/>
      <c r="M59" s="134">
        <v>1598.2</v>
      </c>
      <c r="N59" s="111">
        <v>49.4</v>
      </c>
      <c r="O59" s="111"/>
      <c r="P59" s="504"/>
      <c r="Q59" s="134">
        <v>1598.2</v>
      </c>
      <c r="R59" s="111">
        <v>49.4</v>
      </c>
      <c r="S59" s="111"/>
      <c r="T59" s="115"/>
      <c r="U59" s="115"/>
    </row>
    <row r="60" spans="1:21" s="324" customFormat="1" ht="23.25" customHeight="1">
      <c r="A60" s="372" t="s">
        <v>373</v>
      </c>
      <c r="B60" s="335"/>
      <c r="C60" s="518"/>
      <c r="D60" s="518"/>
      <c r="E60" s="518"/>
      <c r="F60" s="519"/>
      <c r="G60" s="335"/>
      <c r="H60" s="334"/>
      <c r="I60" s="335"/>
      <c r="J60" s="335"/>
      <c r="K60" s="334"/>
      <c r="L60" s="335"/>
      <c r="M60" s="334"/>
      <c r="N60" s="335"/>
      <c r="O60" s="335"/>
      <c r="P60" s="335">
        <f>Q60+R60</f>
        <v>1394.6</v>
      </c>
      <c r="Q60" s="334">
        <v>1352.8</v>
      </c>
      <c r="R60" s="335">
        <v>41.8</v>
      </c>
      <c r="S60" s="335"/>
      <c r="T60" s="335"/>
      <c r="U60" s="335"/>
    </row>
    <row r="61" spans="1:21" s="501" customFormat="1" ht="12.75">
      <c r="A61" s="502" t="s">
        <v>261</v>
      </c>
      <c r="B61" s="103" t="s">
        <v>223</v>
      </c>
      <c r="C61" s="378" t="s">
        <v>231</v>
      </c>
      <c r="D61" s="378" t="s">
        <v>263</v>
      </c>
      <c r="E61" s="378" t="s">
        <v>250</v>
      </c>
      <c r="F61" s="102" t="s">
        <v>241</v>
      </c>
      <c r="G61" s="505">
        <f>SUM(H61+I61)</f>
        <v>3019</v>
      </c>
      <c r="H61" s="188">
        <f>SUM(H62)</f>
        <v>2928.4</v>
      </c>
      <c r="I61" s="505">
        <f>SUM(I62)</f>
        <v>90.6</v>
      </c>
      <c r="J61" s="505">
        <f>SUM(J62)</f>
        <v>0</v>
      </c>
      <c r="K61" s="188">
        <f>SUM(K62)</f>
        <v>483.6</v>
      </c>
      <c r="L61" s="505">
        <f>SUM(M61+N61)</f>
        <v>498.6</v>
      </c>
      <c r="M61" s="188">
        <f>SUM(M62)</f>
        <v>483.6</v>
      </c>
      <c r="N61" s="505">
        <f>N62</f>
        <v>15</v>
      </c>
      <c r="O61" s="505">
        <f>SUM(O62)</f>
        <v>0</v>
      </c>
      <c r="P61" s="505">
        <f>SUM(Q61+R61)</f>
        <v>498.6</v>
      </c>
      <c r="Q61" s="188">
        <f>SUM(Q62)</f>
        <v>483.6</v>
      </c>
      <c r="R61" s="505">
        <f>SUM(R62)</f>
        <v>15</v>
      </c>
      <c r="S61" s="505">
        <f>SUM(S62)</f>
        <v>0</v>
      </c>
      <c r="T61" s="505">
        <f>M61/K61*100</f>
        <v>100</v>
      </c>
      <c r="U61" s="505">
        <f>Q61/M61*100</f>
        <v>100</v>
      </c>
    </row>
    <row r="62" spans="1:21" s="391" customFormat="1" ht="12">
      <c r="A62" s="111" t="s">
        <v>359</v>
      </c>
      <c r="B62" s="111"/>
      <c r="C62" s="401"/>
      <c r="D62" s="401"/>
      <c r="E62" s="401"/>
      <c r="F62" s="207"/>
      <c r="G62" s="111"/>
      <c r="H62" s="134">
        <v>2928.4</v>
      </c>
      <c r="I62" s="111">
        <v>90.6</v>
      </c>
      <c r="J62" s="111"/>
      <c r="K62" s="134">
        <v>483.6</v>
      </c>
      <c r="L62" s="111">
        <f>N62+M62</f>
        <v>498.6</v>
      </c>
      <c r="M62" s="134">
        <v>483.6</v>
      </c>
      <c r="N62" s="111">
        <v>15</v>
      </c>
      <c r="O62" s="111"/>
      <c r="P62" s="111">
        <f>R62+Q62</f>
        <v>498.6</v>
      </c>
      <c r="Q62" s="134">
        <v>483.6</v>
      </c>
      <c r="R62" s="111">
        <v>15</v>
      </c>
      <c r="S62" s="504"/>
      <c r="T62" s="115"/>
      <c r="U62" s="115"/>
    </row>
    <row r="63" spans="1:21" ht="40.5">
      <c r="A63" s="478" t="s">
        <v>224</v>
      </c>
      <c r="B63" s="130" t="s">
        <v>225</v>
      </c>
      <c r="C63" s="479"/>
      <c r="D63" s="130"/>
      <c r="E63" s="479"/>
      <c r="F63" s="479"/>
      <c r="G63" s="132">
        <f>SUM(G65)</f>
        <v>330509.60000000003</v>
      </c>
      <c r="H63" s="132">
        <f>SUM(H65)</f>
        <v>320594.30000000005</v>
      </c>
      <c r="I63" s="132">
        <f>I65</f>
        <v>9915.300000000001</v>
      </c>
      <c r="J63" s="132">
        <f aca="true" t="shared" si="14" ref="J63:S63">SUM(J65)</f>
        <v>0</v>
      </c>
      <c r="K63" s="132">
        <f t="shared" si="14"/>
        <v>4440</v>
      </c>
      <c r="L63" s="132">
        <f t="shared" si="14"/>
        <v>1897.9999999999998</v>
      </c>
      <c r="M63" s="132">
        <f t="shared" si="14"/>
        <v>1831.6</v>
      </c>
      <c r="N63" s="132">
        <f t="shared" si="14"/>
        <v>66.4</v>
      </c>
      <c r="O63" s="132">
        <f t="shared" si="14"/>
        <v>0</v>
      </c>
      <c r="P63" s="132">
        <f>SUM(P65)</f>
        <v>1897.9999999999998</v>
      </c>
      <c r="Q63" s="132">
        <f t="shared" si="14"/>
        <v>1831.6</v>
      </c>
      <c r="R63" s="132">
        <f t="shared" si="14"/>
        <v>66.4</v>
      </c>
      <c r="S63" s="132">
        <f t="shared" si="14"/>
        <v>0</v>
      </c>
      <c r="T63" s="132">
        <f>SUM(M63/K63)*100</f>
        <v>41.252252252252255</v>
      </c>
      <c r="U63" s="130">
        <f>(P63/L63)*100</f>
        <v>100</v>
      </c>
    </row>
    <row r="64" spans="1:21" ht="12.75">
      <c r="A64" s="484" t="s">
        <v>11</v>
      </c>
      <c r="B64" s="446"/>
      <c r="C64" s="485"/>
      <c r="D64" s="446"/>
      <c r="E64" s="485"/>
      <c r="F64" s="485"/>
      <c r="G64" s="446"/>
      <c r="H64" s="446"/>
      <c r="I64" s="446"/>
      <c r="J64" s="446"/>
      <c r="K64" s="446"/>
      <c r="L64" s="446"/>
      <c r="M64" s="446"/>
      <c r="N64" s="446"/>
      <c r="O64" s="446"/>
      <c r="P64" s="446">
        <f>Q64+R64</f>
        <v>9582.699999999999</v>
      </c>
      <c r="Q64" s="446">
        <f>Q72+Q74+Q82</f>
        <v>9295.3</v>
      </c>
      <c r="R64" s="446">
        <f>R72+R74+R82</f>
        <v>287.40000000000003</v>
      </c>
      <c r="S64" s="446"/>
      <c r="T64" s="446"/>
      <c r="U64" s="446"/>
    </row>
    <row r="65" spans="1:21" ht="40.5">
      <c r="A65" s="79" t="s">
        <v>230</v>
      </c>
      <c r="B65" s="39" t="s">
        <v>225</v>
      </c>
      <c r="C65" s="82" t="s">
        <v>231</v>
      </c>
      <c r="D65" s="39"/>
      <c r="E65" s="81"/>
      <c r="F65" s="81"/>
      <c r="G65" s="39">
        <f>SUM(G66)</f>
        <v>330509.60000000003</v>
      </c>
      <c r="H65" s="130">
        <f aca="true" t="shared" si="15" ref="H65:J67">SUM(H66)</f>
        <v>320594.30000000005</v>
      </c>
      <c r="I65" s="39">
        <f t="shared" si="15"/>
        <v>9915.300000000001</v>
      </c>
      <c r="J65" s="39">
        <f t="shared" si="15"/>
        <v>0</v>
      </c>
      <c r="K65" s="130">
        <f aca="true" t="shared" si="16" ref="K65:O67">SUM(K66)</f>
        <v>4440</v>
      </c>
      <c r="L65" s="39">
        <f t="shared" si="16"/>
        <v>1897.9999999999998</v>
      </c>
      <c r="M65" s="130">
        <f t="shared" si="16"/>
        <v>1831.6</v>
      </c>
      <c r="N65" s="39">
        <f t="shared" si="16"/>
        <v>66.4</v>
      </c>
      <c r="O65" s="39">
        <f t="shared" si="16"/>
        <v>0</v>
      </c>
      <c r="P65" s="39">
        <f aca="true" t="shared" si="17" ref="P65:S67">SUM(P66)</f>
        <v>1897.9999999999998</v>
      </c>
      <c r="Q65" s="130">
        <f t="shared" si="17"/>
        <v>1831.6</v>
      </c>
      <c r="R65" s="39">
        <f t="shared" si="17"/>
        <v>66.4</v>
      </c>
      <c r="S65" s="39">
        <f t="shared" si="17"/>
        <v>0</v>
      </c>
      <c r="T65" s="39">
        <f>SUM(M65/K65)*100</f>
        <v>41.252252252252255</v>
      </c>
      <c r="U65" s="39">
        <f>(P65/L65)*100</f>
        <v>100</v>
      </c>
    </row>
    <row r="66" spans="1:21" ht="12.75">
      <c r="A66" s="83" t="s">
        <v>264</v>
      </c>
      <c r="B66" s="39" t="s">
        <v>225</v>
      </c>
      <c r="C66" s="82" t="s">
        <v>231</v>
      </c>
      <c r="D66" s="80" t="s">
        <v>263</v>
      </c>
      <c r="E66" s="81"/>
      <c r="F66" s="81"/>
      <c r="G66" s="39">
        <f>SUM(G67)</f>
        <v>330509.60000000003</v>
      </c>
      <c r="H66" s="130">
        <f t="shared" si="15"/>
        <v>320594.30000000005</v>
      </c>
      <c r="I66" s="39">
        <f t="shared" si="15"/>
        <v>9915.300000000001</v>
      </c>
      <c r="J66" s="39">
        <f t="shared" si="15"/>
        <v>0</v>
      </c>
      <c r="K66" s="130">
        <f t="shared" si="16"/>
        <v>4440</v>
      </c>
      <c r="L66" s="39">
        <f t="shared" si="16"/>
        <v>1897.9999999999998</v>
      </c>
      <c r="M66" s="130">
        <f t="shared" si="16"/>
        <v>1831.6</v>
      </c>
      <c r="N66" s="39">
        <f t="shared" si="16"/>
        <v>66.4</v>
      </c>
      <c r="O66" s="39">
        <f t="shared" si="16"/>
        <v>0</v>
      </c>
      <c r="P66" s="39">
        <f t="shared" si="17"/>
        <v>1897.9999999999998</v>
      </c>
      <c r="Q66" s="130">
        <f t="shared" si="17"/>
        <v>1831.6</v>
      </c>
      <c r="R66" s="39">
        <f t="shared" si="17"/>
        <v>66.4</v>
      </c>
      <c r="S66" s="39">
        <f t="shared" si="17"/>
        <v>0</v>
      </c>
      <c r="T66" s="39"/>
      <c r="U66" s="39"/>
    </row>
    <row r="67" spans="1:21" ht="25.5">
      <c r="A67" s="83" t="s">
        <v>285</v>
      </c>
      <c r="B67" s="39" t="s">
        <v>225</v>
      </c>
      <c r="C67" s="82" t="s">
        <v>231</v>
      </c>
      <c r="D67" s="80" t="s">
        <v>263</v>
      </c>
      <c r="E67" s="80" t="s">
        <v>263</v>
      </c>
      <c r="F67" s="81"/>
      <c r="G67" s="39">
        <f>SUM(G68)</f>
        <v>330509.60000000003</v>
      </c>
      <c r="H67" s="130">
        <f t="shared" si="15"/>
        <v>320594.30000000005</v>
      </c>
      <c r="I67" s="39">
        <f t="shared" si="15"/>
        <v>9915.300000000001</v>
      </c>
      <c r="J67" s="39">
        <f t="shared" si="15"/>
        <v>0</v>
      </c>
      <c r="K67" s="130">
        <f t="shared" si="16"/>
        <v>4440</v>
      </c>
      <c r="L67" s="39">
        <f t="shared" si="16"/>
        <v>1897.9999999999998</v>
      </c>
      <c r="M67" s="130">
        <f t="shared" si="16"/>
        <v>1831.6</v>
      </c>
      <c r="N67" s="39">
        <f t="shared" si="16"/>
        <v>66.4</v>
      </c>
      <c r="O67" s="39">
        <f t="shared" si="16"/>
        <v>0</v>
      </c>
      <c r="P67" s="39">
        <f t="shared" si="17"/>
        <v>1897.9999999999998</v>
      </c>
      <c r="Q67" s="130">
        <f t="shared" si="17"/>
        <v>1831.6</v>
      </c>
      <c r="R67" s="39">
        <f t="shared" si="17"/>
        <v>66.4</v>
      </c>
      <c r="S67" s="39">
        <f t="shared" si="17"/>
        <v>0</v>
      </c>
      <c r="T67" s="39"/>
      <c r="U67" s="39"/>
    </row>
    <row r="68" spans="1:21" ht="12.75">
      <c r="A68" s="85" t="s">
        <v>240</v>
      </c>
      <c r="B68" s="39" t="s">
        <v>225</v>
      </c>
      <c r="C68" s="82" t="s">
        <v>231</v>
      </c>
      <c r="D68" s="80" t="s">
        <v>263</v>
      </c>
      <c r="E68" s="80" t="s">
        <v>263</v>
      </c>
      <c r="F68" s="82" t="s">
        <v>241</v>
      </c>
      <c r="G68" s="39">
        <f>SUM(G69+G85)</f>
        <v>330509.60000000003</v>
      </c>
      <c r="H68" s="130">
        <f>SUM(H69+H85)</f>
        <v>320594.30000000005</v>
      </c>
      <c r="I68" s="39">
        <f>I69+I85</f>
        <v>9915.300000000001</v>
      </c>
      <c r="J68" s="39">
        <f aca="true" t="shared" si="18" ref="J68:S68">SUM(J69+J85)</f>
        <v>0</v>
      </c>
      <c r="K68" s="130">
        <f t="shared" si="18"/>
        <v>4440</v>
      </c>
      <c r="L68" s="39">
        <f t="shared" si="18"/>
        <v>1897.9999999999998</v>
      </c>
      <c r="M68" s="130">
        <f t="shared" si="18"/>
        <v>1831.6</v>
      </c>
      <c r="N68" s="39">
        <f t="shared" si="18"/>
        <v>66.4</v>
      </c>
      <c r="O68" s="39">
        <f t="shared" si="18"/>
        <v>0</v>
      </c>
      <c r="P68" s="39">
        <f t="shared" si="18"/>
        <v>1897.9999999999998</v>
      </c>
      <c r="Q68" s="130">
        <f t="shared" si="18"/>
        <v>1831.6</v>
      </c>
      <c r="R68" s="39">
        <f t="shared" si="18"/>
        <v>66.4</v>
      </c>
      <c r="S68" s="39">
        <f t="shared" si="18"/>
        <v>0</v>
      </c>
      <c r="T68" s="39">
        <f>SUM(M68/K68)*100</f>
        <v>41.252252252252255</v>
      </c>
      <c r="U68" s="39">
        <f>(P68/L68)*100</f>
        <v>100</v>
      </c>
    </row>
    <row r="69" spans="1:21" s="123" customFormat="1" ht="12.75">
      <c r="A69" s="486" t="s">
        <v>245</v>
      </c>
      <c r="B69" s="186" t="s">
        <v>225</v>
      </c>
      <c r="C69" s="187" t="s">
        <v>231</v>
      </c>
      <c r="D69" s="487" t="s">
        <v>263</v>
      </c>
      <c r="E69" s="487" t="s">
        <v>263</v>
      </c>
      <c r="F69" s="187" t="s">
        <v>241</v>
      </c>
      <c r="G69" s="186">
        <f>SUM(H69+I69)</f>
        <v>282170.4</v>
      </c>
      <c r="H69" s="188">
        <f>H70+H71+H73+H75+H79+H80+H81</f>
        <v>273705.30000000005</v>
      </c>
      <c r="I69" s="186">
        <f>I70+I71+I73+I75+I79+I80+I81</f>
        <v>8465.1</v>
      </c>
      <c r="J69" s="186"/>
      <c r="K69" s="188">
        <f>K70+K71+K73+K75+K79+K80+K81</f>
        <v>2000</v>
      </c>
      <c r="L69" s="186">
        <f>SUM(M69+N69)</f>
        <v>9.8</v>
      </c>
      <c r="M69" s="188">
        <f>M70+M71+M73+M75+M79+M80+M81</f>
        <v>0</v>
      </c>
      <c r="N69" s="186">
        <f>N70+N71+N73+N75+N79+N80+N81</f>
        <v>9.8</v>
      </c>
      <c r="O69" s="186"/>
      <c r="P69" s="186">
        <f>SUM(Q69+R69)</f>
        <v>9.8</v>
      </c>
      <c r="Q69" s="188">
        <f>Q70+Q71+Q73+Q75+Q79+Q80+Q81</f>
        <v>0</v>
      </c>
      <c r="R69" s="186">
        <f>R70+R71+R73+R75+R79+R80+R81</f>
        <v>9.8</v>
      </c>
      <c r="S69" s="186"/>
      <c r="T69" s="186">
        <f>M69/K69*100</f>
        <v>0</v>
      </c>
      <c r="U69" s="186">
        <v>0</v>
      </c>
    </row>
    <row r="70" spans="1:21" s="477" customFormat="1" ht="38.25">
      <c r="A70" s="101" t="s">
        <v>415</v>
      </c>
      <c r="B70" s="101"/>
      <c r="C70" s="488"/>
      <c r="D70" s="398"/>
      <c r="E70" s="398"/>
      <c r="F70" s="488"/>
      <c r="G70" s="101"/>
      <c r="H70" s="489">
        <f>110305.7+16954.2</f>
        <v>127259.9</v>
      </c>
      <c r="I70" s="101">
        <v>3935.9</v>
      </c>
      <c r="J70" s="101"/>
      <c r="K70" s="489"/>
      <c r="L70" s="101"/>
      <c r="M70" s="489">
        <v>0</v>
      </c>
      <c r="N70" s="101">
        <v>0</v>
      </c>
      <c r="O70" s="101"/>
      <c r="P70" s="490"/>
      <c r="Q70" s="489">
        <v>0</v>
      </c>
      <c r="R70" s="101">
        <v>0</v>
      </c>
      <c r="S70" s="101"/>
      <c r="T70" s="101"/>
      <c r="U70" s="101"/>
    </row>
    <row r="71" spans="1:21" s="477" customFormat="1" ht="38.25" customHeight="1">
      <c r="A71" s="591" t="s">
        <v>101</v>
      </c>
      <c r="B71" s="101"/>
      <c r="C71" s="488"/>
      <c r="D71" s="398"/>
      <c r="E71" s="398"/>
      <c r="F71" s="488"/>
      <c r="G71" s="101"/>
      <c r="H71" s="489">
        <f>71104.5-47239</f>
        <v>23865.5</v>
      </c>
      <c r="I71" s="101">
        <v>738.2</v>
      </c>
      <c r="J71" s="101"/>
      <c r="K71" s="489">
        <v>0</v>
      </c>
      <c r="L71" s="101"/>
      <c r="M71" s="489">
        <v>0</v>
      </c>
      <c r="N71" s="101">
        <v>0</v>
      </c>
      <c r="O71" s="101"/>
      <c r="P71" s="490"/>
      <c r="Q71" s="489">
        <v>0</v>
      </c>
      <c r="R71" s="101">
        <v>0</v>
      </c>
      <c r="S71" s="101"/>
      <c r="T71" s="101"/>
      <c r="U71" s="101"/>
    </row>
    <row r="72" spans="1:21" s="477" customFormat="1" ht="12.75">
      <c r="A72" s="592"/>
      <c r="B72" s="287"/>
      <c r="C72" s="581"/>
      <c r="D72" s="288"/>
      <c r="E72" s="288"/>
      <c r="F72" s="581"/>
      <c r="G72" s="287"/>
      <c r="H72" s="582"/>
      <c r="I72" s="287"/>
      <c r="J72" s="287"/>
      <c r="K72" s="582"/>
      <c r="L72" s="287"/>
      <c r="M72" s="582"/>
      <c r="N72" s="287"/>
      <c r="O72" s="287"/>
      <c r="P72" s="583"/>
      <c r="Q72" s="582">
        <v>8271.3</v>
      </c>
      <c r="R72" s="287">
        <v>255.8</v>
      </c>
      <c r="S72" s="287"/>
      <c r="T72" s="287"/>
      <c r="U72" s="287"/>
    </row>
    <row r="73" spans="1:21" s="477" customFormat="1" ht="25.5" customHeight="1">
      <c r="A73" s="591" t="s">
        <v>102</v>
      </c>
      <c r="B73" s="101"/>
      <c r="C73" s="488"/>
      <c r="D73" s="398"/>
      <c r="E73" s="398"/>
      <c r="F73" s="488"/>
      <c r="G73" s="101"/>
      <c r="H73" s="489">
        <v>824.5</v>
      </c>
      <c r="I73" s="101">
        <v>25.5</v>
      </c>
      <c r="J73" s="101"/>
      <c r="K73" s="489">
        <v>0</v>
      </c>
      <c r="L73" s="101"/>
      <c r="M73" s="489">
        <v>0</v>
      </c>
      <c r="N73" s="101">
        <v>0</v>
      </c>
      <c r="O73" s="101"/>
      <c r="P73" s="490"/>
      <c r="Q73" s="489">
        <v>0</v>
      </c>
      <c r="R73" s="101">
        <v>0</v>
      </c>
      <c r="S73" s="101"/>
      <c r="T73" s="101"/>
      <c r="U73" s="101"/>
    </row>
    <row r="74" spans="1:21" s="477" customFormat="1" ht="12.75">
      <c r="A74" s="592"/>
      <c r="B74" s="287"/>
      <c r="C74" s="581"/>
      <c r="D74" s="288"/>
      <c r="E74" s="288"/>
      <c r="F74" s="581"/>
      <c r="G74" s="287"/>
      <c r="H74" s="582"/>
      <c r="I74" s="287"/>
      <c r="J74" s="287"/>
      <c r="K74" s="582"/>
      <c r="L74" s="287"/>
      <c r="M74" s="582"/>
      <c r="N74" s="287"/>
      <c r="O74" s="287"/>
      <c r="P74" s="583"/>
      <c r="Q74" s="582">
        <v>50</v>
      </c>
      <c r="R74" s="287">
        <v>1.5</v>
      </c>
      <c r="S74" s="287"/>
      <c r="T74" s="287"/>
      <c r="U74" s="287"/>
    </row>
    <row r="75" spans="1:21" s="477" customFormat="1" ht="12.75">
      <c r="A75" s="101" t="s">
        <v>416</v>
      </c>
      <c r="B75" s="101"/>
      <c r="C75" s="488"/>
      <c r="D75" s="398"/>
      <c r="E75" s="398"/>
      <c r="F75" s="488"/>
      <c r="G75" s="101"/>
      <c r="H75" s="489">
        <f>H76+H77+H78</f>
        <v>16257.7</v>
      </c>
      <c r="I75" s="101">
        <f>I76+I77+I78</f>
        <v>502.8</v>
      </c>
      <c r="J75" s="101"/>
      <c r="K75" s="489">
        <v>2000</v>
      </c>
      <c r="L75" s="101"/>
      <c r="M75" s="489">
        <f>M76+M77+M78</f>
        <v>0</v>
      </c>
      <c r="N75" s="101">
        <f>N76+N77+N78</f>
        <v>9.8</v>
      </c>
      <c r="O75" s="101"/>
      <c r="P75" s="490"/>
      <c r="Q75" s="489">
        <f>Q76+Q77+Q78</f>
        <v>0</v>
      </c>
      <c r="R75" s="101">
        <f>R76+R77+R78</f>
        <v>9.8</v>
      </c>
      <c r="S75" s="101"/>
      <c r="T75" s="101"/>
      <c r="U75" s="101"/>
    </row>
    <row r="76" spans="1:21" s="55" customFormat="1" ht="33.75">
      <c r="A76" s="491" t="s">
        <v>417</v>
      </c>
      <c r="B76" s="121"/>
      <c r="C76" s="120"/>
      <c r="D76" s="492"/>
      <c r="E76" s="492"/>
      <c r="F76" s="120"/>
      <c r="G76" s="121"/>
      <c r="H76" s="133">
        <v>8400.7</v>
      </c>
      <c r="I76" s="121">
        <v>259.8</v>
      </c>
      <c r="J76" s="121"/>
      <c r="K76" s="133">
        <v>2000</v>
      </c>
      <c r="L76" s="121"/>
      <c r="M76" s="133">
        <v>0</v>
      </c>
      <c r="N76" s="121">
        <v>0</v>
      </c>
      <c r="O76" s="121"/>
      <c r="P76" s="493"/>
      <c r="Q76" s="133">
        <v>0</v>
      </c>
      <c r="R76" s="121">
        <v>0</v>
      </c>
      <c r="S76" s="121"/>
      <c r="T76" s="121"/>
      <c r="U76" s="121"/>
    </row>
    <row r="77" spans="1:21" s="55" customFormat="1" ht="33.75" customHeight="1">
      <c r="A77" s="491" t="s">
        <v>418</v>
      </c>
      <c r="B77" s="121"/>
      <c r="C77" s="120"/>
      <c r="D77" s="492"/>
      <c r="E77" s="492"/>
      <c r="F77" s="120"/>
      <c r="G77" s="121"/>
      <c r="H77" s="133">
        <v>6402</v>
      </c>
      <c r="I77" s="121">
        <v>198</v>
      </c>
      <c r="J77" s="121"/>
      <c r="K77" s="133">
        <v>0</v>
      </c>
      <c r="L77" s="121"/>
      <c r="M77" s="133">
        <v>0</v>
      </c>
      <c r="N77" s="121">
        <v>9.8</v>
      </c>
      <c r="O77" s="121"/>
      <c r="P77" s="493"/>
      <c r="Q77" s="133">
        <v>0</v>
      </c>
      <c r="R77" s="121">
        <v>9.8</v>
      </c>
      <c r="S77" s="121"/>
      <c r="T77" s="121"/>
      <c r="U77" s="121"/>
    </row>
    <row r="78" spans="1:21" s="55" customFormat="1" ht="33.75" customHeight="1">
      <c r="A78" s="491" t="s">
        <v>419</v>
      </c>
      <c r="B78" s="121"/>
      <c r="C78" s="120"/>
      <c r="D78" s="492"/>
      <c r="E78" s="492"/>
      <c r="F78" s="120"/>
      <c r="G78" s="121"/>
      <c r="H78" s="133">
        <v>1455</v>
      </c>
      <c r="I78" s="121">
        <v>45</v>
      </c>
      <c r="J78" s="121"/>
      <c r="K78" s="133">
        <v>0</v>
      </c>
      <c r="L78" s="121"/>
      <c r="M78" s="133">
        <v>0</v>
      </c>
      <c r="N78" s="121">
        <v>0</v>
      </c>
      <c r="O78" s="121"/>
      <c r="P78" s="493"/>
      <c r="Q78" s="133">
        <v>0</v>
      </c>
      <c r="R78" s="121">
        <v>0</v>
      </c>
      <c r="S78" s="121"/>
      <c r="T78" s="121"/>
      <c r="U78" s="121"/>
    </row>
    <row r="79" spans="1:21" s="22" customFormat="1" ht="39" customHeight="1">
      <c r="A79" s="494" t="s">
        <v>422</v>
      </c>
      <c r="B79" s="103"/>
      <c r="C79" s="102"/>
      <c r="D79" s="378"/>
      <c r="E79" s="378"/>
      <c r="F79" s="102"/>
      <c r="G79" s="103"/>
      <c r="H79" s="131">
        <v>87107.3</v>
      </c>
      <c r="I79" s="103">
        <v>2694</v>
      </c>
      <c r="J79" s="103"/>
      <c r="K79" s="131">
        <v>0</v>
      </c>
      <c r="L79" s="103"/>
      <c r="M79" s="131">
        <v>0</v>
      </c>
      <c r="N79" s="103">
        <v>0</v>
      </c>
      <c r="O79" s="103"/>
      <c r="P79" s="186"/>
      <c r="Q79" s="131">
        <v>0</v>
      </c>
      <c r="R79" s="103">
        <v>0</v>
      </c>
      <c r="S79" s="103"/>
      <c r="T79" s="103"/>
      <c r="U79" s="103"/>
    </row>
    <row r="80" spans="1:21" s="55" customFormat="1" ht="38.25" customHeight="1">
      <c r="A80" s="494" t="s">
        <v>423</v>
      </c>
      <c r="B80" s="103"/>
      <c r="C80" s="102"/>
      <c r="D80" s="378"/>
      <c r="E80" s="378"/>
      <c r="F80" s="102"/>
      <c r="G80" s="103"/>
      <c r="H80" s="131">
        <v>18071.7</v>
      </c>
      <c r="I80" s="103">
        <v>558.9</v>
      </c>
      <c r="J80" s="103"/>
      <c r="K80" s="131">
        <v>0</v>
      </c>
      <c r="L80" s="103"/>
      <c r="M80" s="131">
        <v>0</v>
      </c>
      <c r="N80" s="103">
        <v>0</v>
      </c>
      <c r="O80" s="103"/>
      <c r="P80" s="186"/>
      <c r="Q80" s="131">
        <v>0</v>
      </c>
      <c r="R80" s="103">
        <v>0</v>
      </c>
      <c r="S80" s="103"/>
      <c r="T80" s="103"/>
      <c r="U80" s="103"/>
    </row>
    <row r="81" spans="1:21" s="55" customFormat="1" ht="38.25" customHeight="1">
      <c r="A81" s="494" t="s">
        <v>97</v>
      </c>
      <c r="B81" s="103"/>
      <c r="C81" s="102"/>
      <c r="D81" s="378"/>
      <c r="E81" s="378"/>
      <c r="F81" s="102"/>
      <c r="G81" s="103"/>
      <c r="H81" s="131">
        <v>318.7</v>
      </c>
      <c r="I81" s="103">
        <v>9.8</v>
      </c>
      <c r="J81" s="103"/>
      <c r="K81" s="131">
        <v>0</v>
      </c>
      <c r="L81" s="103"/>
      <c r="M81" s="131">
        <v>0</v>
      </c>
      <c r="N81" s="103">
        <v>0</v>
      </c>
      <c r="O81" s="103"/>
      <c r="P81" s="186"/>
      <c r="Q81" s="131">
        <v>0</v>
      </c>
      <c r="R81" s="103">
        <v>0</v>
      </c>
      <c r="S81" s="103"/>
      <c r="T81" s="103"/>
      <c r="U81" s="103"/>
    </row>
    <row r="82" spans="1:21" s="397" customFormat="1" ht="10.5">
      <c r="A82" s="495" t="s">
        <v>420</v>
      </c>
      <c r="B82" s="410"/>
      <c r="C82" s="496"/>
      <c r="D82" s="497"/>
      <c r="E82" s="497"/>
      <c r="F82" s="496"/>
      <c r="G82" s="410"/>
      <c r="H82" s="498"/>
      <c r="I82" s="410"/>
      <c r="J82" s="410"/>
      <c r="K82" s="498"/>
      <c r="L82" s="410"/>
      <c r="M82" s="498"/>
      <c r="N82" s="410"/>
      <c r="O82" s="410"/>
      <c r="P82" s="410">
        <f>Q82+R82+S82</f>
        <v>1004.1</v>
      </c>
      <c r="Q82" s="498">
        <f>Q83+Q84</f>
        <v>974</v>
      </c>
      <c r="R82" s="410">
        <f>R83+R84</f>
        <v>30.1</v>
      </c>
      <c r="S82" s="410"/>
      <c r="T82" s="410"/>
      <c r="U82" s="410"/>
    </row>
    <row r="83" spans="1:21" s="26" customFormat="1" ht="22.5">
      <c r="A83" s="499" t="s">
        <v>421</v>
      </c>
      <c r="B83" s="356"/>
      <c r="C83" s="355"/>
      <c r="D83" s="353"/>
      <c r="E83" s="353"/>
      <c r="F83" s="355"/>
      <c r="G83" s="356"/>
      <c r="H83" s="357"/>
      <c r="I83" s="356"/>
      <c r="J83" s="356"/>
      <c r="K83" s="357"/>
      <c r="L83" s="356"/>
      <c r="M83" s="357"/>
      <c r="N83" s="356"/>
      <c r="O83" s="356"/>
      <c r="P83" s="410"/>
      <c r="Q83" s="357">
        <v>548.9</v>
      </c>
      <c r="R83" s="356">
        <v>17</v>
      </c>
      <c r="S83" s="356"/>
      <c r="T83" s="356"/>
      <c r="U83" s="356"/>
    </row>
    <row r="84" spans="1:21" s="26" customFormat="1" ht="12" customHeight="1">
      <c r="A84" s="499" t="s">
        <v>103</v>
      </c>
      <c r="B84" s="356"/>
      <c r="C84" s="355"/>
      <c r="D84" s="353"/>
      <c r="E84" s="353"/>
      <c r="F84" s="355"/>
      <c r="G84" s="356"/>
      <c r="H84" s="357"/>
      <c r="I84" s="356"/>
      <c r="J84" s="356"/>
      <c r="K84" s="357"/>
      <c r="L84" s="356"/>
      <c r="M84" s="357"/>
      <c r="N84" s="356"/>
      <c r="O84" s="356"/>
      <c r="P84" s="410"/>
      <c r="Q84" s="357">
        <v>425.1</v>
      </c>
      <c r="R84" s="356">
        <v>13.1</v>
      </c>
      <c r="S84" s="356"/>
      <c r="T84" s="356"/>
      <c r="U84" s="356"/>
    </row>
    <row r="85" spans="1:21" s="123" customFormat="1" ht="12.75">
      <c r="A85" s="486" t="s">
        <v>242</v>
      </c>
      <c r="B85" s="186" t="s">
        <v>225</v>
      </c>
      <c r="C85" s="187" t="s">
        <v>231</v>
      </c>
      <c r="D85" s="487" t="s">
        <v>263</v>
      </c>
      <c r="E85" s="487" t="s">
        <v>263</v>
      </c>
      <c r="F85" s="187" t="s">
        <v>241</v>
      </c>
      <c r="G85" s="186">
        <f>SUM(H85+I85)</f>
        <v>48339.2</v>
      </c>
      <c r="H85" s="188">
        <f>H86+H87+H99+H100+H101</f>
        <v>46889</v>
      </c>
      <c r="I85" s="186">
        <f>I86+I87+I99+I100+I101</f>
        <v>1450.2</v>
      </c>
      <c r="J85" s="186"/>
      <c r="K85" s="188">
        <f>K86+K87+K99+K100+K101</f>
        <v>2440</v>
      </c>
      <c r="L85" s="186">
        <f>SUM(M85+N85)</f>
        <v>1888.1999999999998</v>
      </c>
      <c r="M85" s="188">
        <f>M86+M87+M99+M100+M101</f>
        <v>1831.6</v>
      </c>
      <c r="N85" s="186">
        <f>N86+N87+N99+N100+N101</f>
        <v>56.6</v>
      </c>
      <c r="O85" s="186"/>
      <c r="P85" s="186">
        <f>SUM(Q85+R85)</f>
        <v>1888.1999999999998</v>
      </c>
      <c r="Q85" s="188">
        <f>Q86+Q87+Q99+Q100+Q101</f>
        <v>1831.6</v>
      </c>
      <c r="R85" s="186">
        <f>R86+R87+R99+R100+R101</f>
        <v>56.6</v>
      </c>
      <c r="S85" s="186"/>
      <c r="T85" s="40">
        <f>SUM(M85/K85)*100</f>
        <v>75.0655737704918</v>
      </c>
      <c r="U85" s="40">
        <f>(P85/L85)*100</f>
        <v>100</v>
      </c>
    </row>
    <row r="86" spans="1:21" s="55" customFormat="1" ht="25.5">
      <c r="A86" s="500" t="s">
        <v>425</v>
      </c>
      <c r="B86" s="103"/>
      <c r="C86" s="102"/>
      <c r="D86" s="378"/>
      <c r="E86" s="378"/>
      <c r="F86" s="102"/>
      <c r="G86" s="103"/>
      <c r="H86" s="131">
        <v>24708</v>
      </c>
      <c r="I86" s="103">
        <v>764.2</v>
      </c>
      <c r="J86" s="103"/>
      <c r="K86" s="131">
        <v>0</v>
      </c>
      <c r="L86" s="103"/>
      <c r="M86" s="131">
        <v>0</v>
      </c>
      <c r="N86" s="103">
        <v>0</v>
      </c>
      <c r="O86" s="103"/>
      <c r="P86" s="103"/>
      <c r="Q86" s="131">
        <v>0</v>
      </c>
      <c r="R86" s="103">
        <v>0</v>
      </c>
      <c r="S86" s="103"/>
      <c r="T86" s="103"/>
      <c r="U86" s="103"/>
    </row>
    <row r="87" spans="1:21" s="22" customFormat="1" ht="12.75">
      <c r="A87" s="494" t="s">
        <v>426</v>
      </c>
      <c r="B87" s="103"/>
      <c r="C87" s="102"/>
      <c r="D87" s="378"/>
      <c r="E87" s="378"/>
      <c r="F87" s="102"/>
      <c r="G87" s="103"/>
      <c r="H87" s="131">
        <f>H88+H89+H90+H91+H92+H93+H94+H95+H96+H97+H98</f>
        <v>10866.1</v>
      </c>
      <c r="I87" s="103">
        <f>I88+I89+I90+I91+I92+I93+I94+I95+I96+I97+I98</f>
        <v>336</v>
      </c>
      <c r="J87" s="103"/>
      <c r="K87" s="131">
        <f>K88+K89+K90+K91+K92+K93+K94+K95+K96+K97+K98</f>
        <v>0</v>
      </c>
      <c r="L87" s="103"/>
      <c r="M87" s="131">
        <f>M88+M89+M90+M91+M92+M93+M94+M95+M96+M97+M98</f>
        <v>0</v>
      </c>
      <c r="N87" s="103">
        <f>N88+N89+N90+N91+N92+N93+N94+N95+N96+N97+N98</f>
        <v>0</v>
      </c>
      <c r="O87" s="103"/>
      <c r="P87" s="103"/>
      <c r="Q87" s="131">
        <f>Q88+Q89+Q90+Q91+Q92+Q93+Q94+Q95+Q96+Q97+Q98</f>
        <v>0</v>
      </c>
      <c r="R87" s="103">
        <f>R88+R89+R90+R91+R92+R93+R94+R95+R96+R97+R98</f>
        <v>0</v>
      </c>
      <c r="S87" s="103"/>
      <c r="T87" s="103"/>
      <c r="U87" s="103"/>
    </row>
    <row r="88" spans="1:22" s="22" customFormat="1" ht="22.5">
      <c r="A88" s="480" t="s">
        <v>427</v>
      </c>
      <c r="B88" s="121"/>
      <c r="C88" s="120"/>
      <c r="D88" s="492"/>
      <c r="E88" s="492"/>
      <c r="F88" s="120"/>
      <c r="G88" s="121"/>
      <c r="H88" s="133">
        <v>500</v>
      </c>
      <c r="I88" s="121">
        <v>15.5</v>
      </c>
      <c r="J88" s="121"/>
      <c r="K88" s="133">
        <v>0</v>
      </c>
      <c r="L88" s="121"/>
      <c r="M88" s="133">
        <v>0</v>
      </c>
      <c r="N88" s="121">
        <v>0</v>
      </c>
      <c r="O88" s="121"/>
      <c r="P88" s="121"/>
      <c r="Q88" s="133">
        <v>0</v>
      </c>
      <c r="R88" s="121">
        <v>0</v>
      </c>
      <c r="S88" s="121"/>
      <c r="T88" s="121"/>
      <c r="U88" s="121"/>
      <c r="V88" s="55"/>
    </row>
    <row r="89" spans="1:22" s="22" customFormat="1" ht="22.5">
      <c r="A89" s="480" t="s">
        <v>428</v>
      </c>
      <c r="B89" s="121"/>
      <c r="C89" s="120"/>
      <c r="D89" s="492"/>
      <c r="E89" s="492"/>
      <c r="F89" s="120"/>
      <c r="G89" s="121"/>
      <c r="H89" s="133">
        <v>500</v>
      </c>
      <c r="I89" s="121">
        <v>15.5</v>
      </c>
      <c r="J89" s="121"/>
      <c r="K89" s="133">
        <v>0</v>
      </c>
      <c r="L89" s="121"/>
      <c r="M89" s="133">
        <v>0</v>
      </c>
      <c r="N89" s="121">
        <v>0</v>
      </c>
      <c r="O89" s="121"/>
      <c r="P89" s="121"/>
      <c r="Q89" s="133">
        <v>0</v>
      </c>
      <c r="R89" s="121">
        <v>0</v>
      </c>
      <c r="S89" s="121"/>
      <c r="T89" s="121"/>
      <c r="U89" s="121"/>
      <c r="V89" s="55"/>
    </row>
    <row r="90" spans="1:22" s="22" customFormat="1" ht="22.5">
      <c r="A90" s="480" t="s">
        <v>429</v>
      </c>
      <c r="B90" s="121"/>
      <c r="C90" s="120"/>
      <c r="D90" s="492"/>
      <c r="E90" s="492"/>
      <c r="F90" s="120"/>
      <c r="G90" s="121"/>
      <c r="H90" s="133">
        <v>500</v>
      </c>
      <c r="I90" s="121">
        <v>15.5</v>
      </c>
      <c r="J90" s="121"/>
      <c r="K90" s="133">
        <v>0</v>
      </c>
      <c r="L90" s="121"/>
      <c r="M90" s="133">
        <v>0</v>
      </c>
      <c r="N90" s="121">
        <v>0</v>
      </c>
      <c r="O90" s="121"/>
      <c r="P90" s="121"/>
      <c r="Q90" s="133">
        <v>0</v>
      </c>
      <c r="R90" s="121">
        <v>0</v>
      </c>
      <c r="S90" s="121"/>
      <c r="T90" s="121"/>
      <c r="U90" s="121"/>
      <c r="V90" s="55"/>
    </row>
    <row r="91" spans="1:22" s="22" customFormat="1" ht="22.5" customHeight="1">
      <c r="A91" s="480" t="s">
        <v>100</v>
      </c>
      <c r="B91" s="121"/>
      <c r="C91" s="120"/>
      <c r="D91" s="492"/>
      <c r="E91" s="492"/>
      <c r="F91" s="120"/>
      <c r="G91" s="121"/>
      <c r="H91" s="133">
        <v>1000</v>
      </c>
      <c r="I91" s="121">
        <v>30.9</v>
      </c>
      <c r="J91" s="121"/>
      <c r="K91" s="133">
        <v>0</v>
      </c>
      <c r="L91" s="121"/>
      <c r="M91" s="133">
        <v>0</v>
      </c>
      <c r="N91" s="121">
        <v>0</v>
      </c>
      <c r="O91" s="121"/>
      <c r="P91" s="121"/>
      <c r="Q91" s="133">
        <v>0</v>
      </c>
      <c r="R91" s="121">
        <v>0</v>
      </c>
      <c r="S91" s="121"/>
      <c r="T91" s="121"/>
      <c r="U91" s="121"/>
      <c r="V91" s="55"/>
    </row>
    <row r="92" spans="1:22" s="22" customFormat="1" ht="22.5">
      <c r="A92" s="480" t="s">
        <v>430</v>
      </c>
      <c r="B92" s="121"/>
      <c r="C92" s="120"/>
      <c r="D92" s="492"/>
      <c r="E92" s="492"/>
      <c r="F92" s="120"/>
      <c r="G92" s="121"/>
      <c r="H92" s="133">
        <v>1000</v>
      </c>
      <c r="I92" s="121">
        <v>30.9</v>
      </c>
      <c r="J92" s="121"/>
      <c r="K92" s="133">
        <v>0</v>
      </c>
      <c r="L92" s="121"/>
      <c r="M92" s="133">
        <v>0</v>
      </c>
      <c r="N92" s="121">
        <v>0</v>
      </c>
      <c r="O92" s="121"/>
      <c r="P92" s="121"/>
      <c r="Q92" s="133">
        <v>0</v>
      </c>
      <c r="R92" s="121">
        <v>0</v>
      </c>
      <c r="S92" s="121"/>
      <c r="T92" s="121"/>
      <c r="U92" s="121"/>
      <c r="V92" s="55"/>
    </row>
    <row r="93" spans="1:22" s="22" customFormat="1" ht="22.5">
      <c r="A93" s="480" t="s">
        <v>431</v>
      </c>
      <c r="B93" s="121"/>
      <c r="C93" s="120"/>
      <c r="D93" s="492"/>
      <c r="E93" s="492"/>
      <c r="F93" s="120"/>
      <c r="G93" s="121"/>
      <c r="H93" s="133">
        <v>1000</v>
      </c>
      <c r="I93" s="121">
        <v>30.9</v>
      </c>
      <c r="J93" s="121"/>
      <c r="K93" s="133">
        <v>0</v>
      </c>
      <c r="L93" s="121"/>
      <c r="M93" s="133">
        <v>0</v>
      </c>
      <c r="N93" s="121">
        <v>0</v>
      </c>
      <c r="O93" s="121"/>
      <c r="P93" s="121"/>
      <c r="Q93" s="133">
        <v>0</v>
      </c>
      <c r="R93" s="121">
        <v>0</v>
      </c>
      <c r="S93" s="121"/>
      <c r="T93" s="121"/>
      <c r="U93" s="121"/>
      <c r="V93" s="55"/>
    </row>
    <row r="94" spans="1:22" s="22" customFormat="1" ht="22.5">
      <c r="A94" s="480" t="s">
        <v>432</v>
      </c>
      <c r="B94" s="121"/>
      <c r="C94" s="120"/>
      <c r="D94" s="492"/>
      <c r="E94" s="492"/>
      <c r="F94" s="120"/>
      <c r="G94" s="121"/>
      <c r="H94" s="133">
        <v>1000</v>
      </c>
      <c r="I94" s="121">
        <v>30.9</v>
      </c>
      <c r="J94" s="121"/>
      <c r="K94" s="133">
        <v>0</v>
      </c>
      <c r="L94" s="121"/>
      <c r="M94" s="133">
        <v>0</v>
      </c>
      <c r="N94" s="121">
        <v>0</v>
      </c>
      <c r="O94" s="121"/>
      <c r="P94" s="121"/>
      <c r="Q94" s="133">
        <v>0</v>
      </c>
      <c r="R94" s="121">
        <v>0</v>
      </c>
      <c r="S94" s="121"/>
      <c r="T94" s="121"/>
      <c r="U94" s="121"/>
      <c r="V94" s="55"/>
    </row>
    <row r="95" spans="1:22" s="22" customFormat="1" ht="22.5">
      <c r="A95" s="480" t="s">
        <v>433</v>
      </c>
      <c r="B95" s="121"/>
      <c r="C95" s="120"/>
      <c r="D95" s="492"/>
      <c r="E95" s="492"/>
      <c r="F95" s="120"/>
      <c r="G95" s="121"/>
      <c r="H95" s="133">
        <v>1982.9</v>
      </c>
      <c r="I95" s="121">
        <v>61.3</v>
      </c>
      <c r="J95" s="121"/>
      <c r="K95" s="133">
        <v>0</v>
      </c>
      <c r="L95" s="121"/>
      <c r="M95" s="133">
        <v>0</v>
      </c>
      <c r="N95" s="121">
        <v>0</v>
      </c>
      <c r="O95" s="121"/>
      <c r="P95" s="121"/>
      <c r="Q95" s="133">
        <v>0</v>
      </c>
      <c r="R95" s="121">
        <v>0</v>
      </c>
      <c r="S95" s="121"/>
      <c r="T95" s="121"/>
      <c r="U95" s="121"/>
      <c r="V95" s="55"/>
    </row>
    <row r="96" spans="1:22" s="22" customFormat="1" ht="22.5" customHeight="1">
      <c r="A96" s="480" t="s">
        <v>104</v>
      </c>
      <c r="B96" s="121"/>
      <c r="C96" s="120"/>
      <c r="D96" s="492"/>
      <c r="E96" s="492"/>
      <c r="F96" s="120"/>
      <c r="G96" s="121"/>
      <c r="H96" s="133">
        <v>1413.2</v>
      </c>
      <c r="I96" s="121">
        <v>43.7</v>
      </c>
      <c r="J96" s="121"/>
      <c r="K96" s="133">
        <v>0</v>
      </c>
      <c r="L96" s="121"/>
      <c r="M96" s="133">
        <v>0</v>
      </c>
      <c r="N96" s="121">
        <v>0</v>
      </c>
      <c r="O96" s="121"/>
      <c r="P96" s="121"/>
      <c r="Q96" s="133">
        <v>0</v>
      </c>
      <c r="R96" s="121">
        <v>0</v>
      </c>
      <c r="S96" s="121"/>
      <c r="T96" s="121"/>
      <c r="U96" s="121"/>
      <c r="V96" s="55"/>
    </row>
    <row r="97" spans="1:22" s="22" customFormat="1" ht="33.75">
      <c r="A97" s="480" t="s">
        <v>105</v>
      </c>
      <c r="B97" s="121"/>
      <c r="C97" s="120"/>
      <c r="D97" s="492"/>
      <c r="E97" s="492"/>
      <c r="F97" s="120"/>
      <c r="G97" s="121"/>
      <c r="H97" s="133">
        <v>970</v>
      </c>
      <c r="I97" s="121">
        <v>30</v>
      </c>
      <c r="J97" s="121"/>
      <c r="K97" s="133">
        <v>0</v>
      </c>
      <c r="L97" s="121"/>
      <c r="M97" s="133">
        <v>0</v>
      </c>
      <c r="N97" s="121">
        <v>0</v>
      </c>
      <c r="O97" s="121"/>
      <c r="P97" s="121"/>
      <c r="Q97" s="133">
        <v>0</v>
      </c>
      <c r="R97" s="121">
        <v>0</v>
      </c>
      <c r="S97" s="121"/>
      <c r="T97" s="121"/>
      <c r="U97" s="121"/>
      <c r="V97" s="55"/>
    </row>
    <row r="98" spans="1:22" s="22" customFormat="1" ht="25.5" customHeight="1">
      <c r="A98" s="480" t="s">
        <v>106</v>
      </c>
      <c r="B98" s="121"/>
      <c r="C98" s="120"/>
      <c r="D98" s="492"/>
      <c r="E98" s="492"/>
      <c r="F98" s="120"/>
      <c r="G98" s="121"/>
      <c r="H98" s="133">
        <v>1000</v>
      </c>
      <c r="I98" s="121">
        <v>30.9</v>
      </c>
      <c r="J98" s="121"/>
      <c r="K98" s="133">
        <v>0</v>
      </c>
      <c r="L98" s="121"/>
      <c r="M98" s="133">
        <v>0</v>
      </c>
      <c r="N98" s="121">
        <v>0</v>
      </c>
      <c r="O98" s="121"/>
      <c r="P98" s="121"/>
      <c r="Q98" s="133">
        <v>0</v>
      </c>
      <c r="R98" s="121">
        <v>0</v>
      </c>
      <c r="S98" s="121"/>
      <c r="T98" s="121"/>
      <c r="U98" s="121"/>
      <c r="V98" s="55"/>
    </row>
    <row r="99" spans="1:21" s="55" customFormat="1" ht="51">
      <c r="A99" s="500" t="s">
        <v>424</v>
      </c>
      <c r="B99" s="103"/>
      <c r="C99" s="102"/>
      <c r="D99" s="378"/>
      <c r="E99" s="378"/>
      <c r="F99" s="102"/>
      <c r="G99" s="103"/>
      <c r="H99" s="131">
        <v>3720.1</v>
      </c>
      <c r="I99" s="103">
        <v>115.1</v>
      </c>
      <c r="J99" s="103"/>
      <c r="K99" s="131">
        <v>2440</v>
      </c>
      <c r="L99" s="103"/>
      <c r="M99" s="131">
        <v>1831.6</v>
      </c>
      <c r="N99" s="103">
        <v>56.6</v>
      </c>
      <c r="O99" s="103"/>
      <c r="P99" s="103"/>
      <c r="Q99" s="131">
        <v>1831.6</v>
      </c>
      <c r="R99" s="103">
        <v>56.6</v>
      </c>
      <c r="S99" s="103"/>
      <c r="T99" s="103"/>
      <c r="U99" s="103"/>
    </row>
    <row r="100" spans="1:21" s="55" customFormat="1" ht="51">
      <c r="A100" s="571" t="s">
        <v>98</v>
      </c>
      <c r="B100" s="572"/>
      <c r="C100" s="573"/>
      <c r="D100" s="574"/>
      <c r="E100" s="574"/>
      <c r="F100" s="573"/>
      <c r="G100" s="572"/>
      <c r="H100" s="575">
        <v>5772.3</v>
      </c>
      <c r="I100" s="572">
        <v>178.5</v>
      </c>
      <c r="J100" s="572"/>
      <c r="K100" s="575">
        <v>0</v>
      </c>
      <c r="L100" s="572"/>
      <c r="M100" s="575">
        <v>0</v>
      </c>
      <c r="N100" s="572">
        <v>0</v>
      </c>
      <c r="O100" s="572"/>
      <c r="P100" s="572"/>
      <c r="Q100" s="575">
        <v>0</v>
      </c>
      <c r="R100" s="572">
        <v>0</v>
      </c>
      <c r="S100" s="572"/>
      <c r="T100" s="572"/>
      <c r="U100" s="572"/>
    </row>
    <row r="101" spans="1:21" s="55" customFormat="1" ht="51">
      <c r="A101" s="571" t="s">
        <v>99</v>
      </c>
      <c r="B101" s="572" t="s">
        <v>129</v>
      </c>
      <c r="C101" s="573"/>
      <c r="D101" s="574"/>
      <c r="E101" s="574"/>
      <c r="F101" s="573"/>
      <c r="G101" s="572"/>
      <c r="H101" s="575">
        <v>1822.5</v>
      </c>
      <c r="I101" s="572">
        <v>56.4</v>
      </c>
      <c r="J101" s="572"/>
      <c r="K101" s="575">
        <v>0</v>
      </c>
      <c r="L101" s="572"/>
      <c r="M101" s="575">
        <v>0</v>
      </c>
      <c r="N101" s="572">
        <v>0</v>
      </c>
      <c r="O101" s="572"/>
      <c r="P101" s="572"/>
      <c r="Q101" s="575">
        <v>0</v>
      </c>
      <c r="R101" s="572">
        <v>0</v>
      </c>
      <c r="S101" s="572"/>
      <c r="T101" s="572"/>
      <c r="U101" s="572"/>
    </row>
    <row r="102" spans="1:21" ht="40.5">
      <c r="A102" s="481" t="s">
        <v>226</v>
      </c>
      <c r="B102" s="482" t="s">
        <v>227</v>
      </c>
      <c r="C102" s="483"/>
      <c r="D102" s="482"/>
      <c r="E102" s="483"/>
      <c r="F102" s="483"/>
      <c r="G102" s="194">
        <f aca="true" t="shared" si="19" ref="G102:S102">SUM(G103)</f>
        <v>404061.2</v>
      </c>
      <c r="H102" s="194">
        <f>SUM(H103)</f>
        <v>404061.2</v>
      </c>
      <c r="I102" s="194">
        <f t="shared" si="19"/>
        <v>0</v>
      </c>
      <c r="J102" s="194">
        <f t="shared" si="19"/>
        <v>0</v>
      </c>
      <c r="K102" s="194">
        <f t="shared" si="19"/>
        <v>254060</v>
      </c>
      <c r="L102" s="194">
        <f t="shared" si="19"/>
        <v>235569.9</v>
      </c>
      <c r="M102" s="194">
        <f t="shared" si="19"/>
        <v>235569.9</v>
      </c>
      <c r="N102" s="194">
        <f t="shared" si="19"/>
        <v>0</v>
      </c>
      <c r="O102" s="194">
        <f t="shared" si="19"/>
        <v>0</v>
      </c>
      <c r="P102" s="194">
        <f t="shared" si="19"/>
        <v>235569.9</v>
      </c>
      <c r="Q102" s="194">
        <f t="shared" si="19"/>
        <v>235569.9</v>
      </c>
      <c r="R102" s="194">
        <f t="shared" si="19"/>
        <v>0</v>
      </c>
      <c r="S102" s="194">
        <f t="shared" si="19"/>
        <v>0</v>
      </c>
      <c r="T102" s="194">
        <f>SUM(M102/K102)*100</f>
        <v>92.72215224750059</v>
      </c>
      <c r="U102" s="482">
        <f>(P102/L102)*100</f>
        <v>100</v>
      </c>
    </row>
    <row r="103" spans="1:21" ht="40.5">
      <c r="A103" s="79" t="s">
        <v>230</v>
      </c>
      <c r="B103" s="39" t="s">
        <v>227</v>
      </c>
      <c r="C103" s="82" t="s">
        <v>231</v>
      </c>
      <c r="D103" s="39"/>
      <c r="E103" s="81"/>
      <c r="F103" s="81"/>
      <c r="G103" s="39">
        <f aca="true" t="shared" si="20" ref="G103:R103">G104+G108</f>
        <v>404061.2</v>
      </c>
      <c r="H103" s="130">
        <f t="shared" si="20"/>
        <v>404061.2</v>
      </c>
      <c r="I103" s="39">
        <f t="shared" si="20"/>
        <v>0</v>
      </c>
      <c r="J103" s="39">
        <f>J104+J108</f>
        <v>0</v>
      </c>
      <c r="K103" s="130">
        <f t="shared" si="20"/>
        <v>254060</v>
      </c>
      <c r="L103" s="39">
        <f t="shared" si="20"/>
        <v>235569.9</v>
      </c>
      <c r="M103" s="130">
        <f t="shared" si="20"/>
        <v>235569.9</v>
      </c>
      <c r="N103" s="39">
        <f t="shared" si="20"/>
        <v>0</v>
      </c>
      <c r="O103" s="39">
        <f>O104+O108</f>
        <v>0</v>
      </c>
      <c r="P103" s="39">
        <f t="shared" si="20"/>
        <v>235569.9</v>
      </c>
      <c r="Q103" s="130">
        <f t="shared" si="20"/>
        <v>235569.9</v>
      </c>
      <c r="R103" s="39">
        <f t="shared" si="20"/>
        <v>0</v>
      </c>
      <c r="S103" s="39">
        <f>S104+S108</f>
        <v>0</v>
      </c>
      <c r="T103" s="39"/>
      <c r="U103" s="39"/>
    </row>
    <row r="104" spans="1:21" ht="14.25" customHeight="1">
      <c r="A104" s="39" t="s">
        <v>288</v>
      </c>
      <c r="B104" s="39" t="s">
        <v>227</v>
      </c>
      <c r="C104" s="82" t="s">
        <v>231</v>
      </c>
      <c r="D104" s="82" t="s">
        <v>250</v>
      </c>
      <c r="E104" s="82"/>
      <c r="F104" s="82"/>
      <c r="G104" s="39">
        <f>G105</f>
        <v>1.2</v>
      </c>
      <c r="H104" s="130">
        <f>H105</f>
        <v>1.2</v>
      </c>
      <c r="I104" s="39"/>
      <c r="J104" s="39"/>
      <c r="K104" s="130">
        <f aca="true" t="shared" si="21" ref="K104:M105">K105</f>
        <v>0</v>
      </c>
      <c r="L104" s="39">
        <f t="shared" si="21"/>
        <v>0</v>
      </c>
      <c r="M104" s="130">
        <f t="shared" si="21"/>
        <v>0</v>
      </c>
      <c r="N104" s="39"/>
      <c r="O104" s="39"/>
      <c r="P104" s="39">
        <f>P105</f>
        <v>0</v>
      </c>
      <c r="Q104" s="130">
        <f>Q105</f>
        <v>0</v>
      </c>
      <c r="R104" s="39"/>
      <c r="S104" s="39"/>
      <c r="T104" s="39"/>
      <c r="U104" s="39"/>
    </row>
    <row r="105" spans="1:21" ht="15.75" customHeight="1">
      <c r="A105" s="41" t="s">
        <v>289</v>
      </c>
      <c r="B105" s="39" t="s">
        <v>227</v>
      </c>
      <c r="C105" s="82" t="s">
        <v>231</v>
      </c>
      <c r="D105" s="82" t="s">
        <v>250</v>
      </c>
      <c r="E105" s="82" t="s">
        <v>297</v>
      </c>
      <c r="F105" s="82"/>
      <c r="G105" s="39">
        <f>G106</f>
        <v>1.2</v>
      </c>
      <c r="H105" s="130">
        <f>H106</f>
        <v>1.2</v>
      </c>
      <c r="I105" s="39"/>
      <c r="J105" s="39"/>
      <c r="K105" s="130">
        <f t="shared" si="21"/>
        <v>0</v>
      </c>
      <c r="L105" s="39">
        <f t="shared" si="21"/>
        <v>0</v>
      </c>
      <c r="M105" s="130">
        <f t="shared" si="21"/>
        <v>0</v>
      </c>
      <c r="N105" s="39"/>
      <c r="O105" s="39"/>
      <c r="P105" s="39">
        <f>P106</f>
        <v>0</v>
      </c>
      <c r="Q105" s="130">
        <f>Q106</f>
        <v>0</v>
      </c>
      <c r="R105" s="39"/>
      <c r="S105" s="39"/>
      <c r="T105" s="39"/>
      <c r="U105" s="39"/>
    </row>
    <row r="106" spans="1:21" ht="12.75">
      <c r="A106" s="41" t="s">
        <v>248</v>
      </c>
      <c r="B106" s="39" t="s">
        <v>227</v>
      </c>
      <c r="C106" s="82" t="s">
        <v>231</v>
      </c>
      <c r="D106" s="82" t="s">
        <v>250</v>
      </c>
      <c r="E106" s="82" t="s">
        <v>297</v>
      </c>
      <c r="F106" s="82" t="s">
        <v>249</v>
      </c>
      <c r="G106" s="39">
        <f>SUM(H106+I106)</f>
        <v>1.2</v>
      </c>
      <c r="H106" s="130">
        <f>SUM(H107)</f>
        <v>1.2</v>
      </c>
      <c r="I106" s="39"/>
      <c r="J106" s="39"/>
      <c r="K106" s="130">
        <f>K107</f>
        <v>0</v>
      </c>
      <c r="L106" s="39">
        <f>SUM(M106+N106)</f>
        <v>0</v>
      </c>
      <c r="M106" s="130">
        <f>SUM(M107)</f>
        <v>0</v>
      </c>
      <c r="N106" s="39"/>
      <c r="O106" s="39"/>
      <c r="P106" s="39">
        <f>SUM(Q106+R106)</f>
        <v>0</v>
      </c>
      <c r="Q106" s="130">
        <f>Q107</f>
        <v>0</v>
      </c>
      <c r="R106" s="39"/>
      <c r="S106" s="39"/>
      <c r="T106" s="39"/>
      <c r="U106" s="39"/>
    </row>
    <row r="107" spans="1:21" s="22" customFormat="1" ht="12.75">
      <c r="A107" s="101" t="s">
        <v>413</v>
      </c>
      <c r="B107" s="103"/>
      <c r="C107" s="102"/>
      <c r="D107" s="102"/>
      <c r="E107" s="102"/>
      <c r="F107" s="102"/>
      <c r="G107" s="103"/>
      <c r="H107" s="131">
        <v>1.2</v>
      </c>
      <c r="I107" s="103"/>
      <c r="J107" s="103"/>
      <c r="K107" s="131">
        <v>0</v>
      </c>
      <c r="L107" s="103"/>
      <c r="M107" s="131">
        <v>0</v>
      </c>
      <c r="N107" s="103"/>
      <c r="O107" s="103"/>
      <c r="P107" s="112"/>
      <c r="Q107" s="247">
        <v>0</v>
      </c>
      <c r="R107" s="103"/>
      <c r="S107" s="103"/>
      <c r="T107" s="103"/>
      <c r="U107" s="103"/>
    </row>
    <row r="108" spans="1:21" ht="12.75">
      <c r="A108" s="41" t="s">
        <v>234</v>
      </c>
      <c r="B108" s="39" t="s">
        <v>227</v>
      </c>
      <c r="C108" s="82" t="s">
        <v>231</v>
      </c>
      <c r="D108" s="82">
        <v>10</v>
      </c>
      <c r="E108" s="81"/>
      <c r="F108" s="81"/>
      <c r="G108" s="39">
        <f>SUM(G109)</f>
        <v>404060</v>
      </c>
      <c r="H108" s="130">
        <f>SUM(H109)</f>
        <v>404060</v>
      </c>
      <c r="I108" s="39"/>
      <c r="J108" s="39"/>
      <c r="K108" s="130">
        <f aca="true" t="shared" si="22" ref="K108:M109">SUM(K109)</f>
        <v>254060</v>
      </c>
      <c r="L108" s="39">
        <f t="shared" si="22"/>
        <v>235569.9</v>
      </c>
      <c r="M108" s="130">
        <f t="shared" si="22"/>
        <v>235569.9</v>
      </c>
      <c r="N108" s="39"/>
      <c r="O108" s="39"/>
      <c r="P108" s="39">
        <f>SUM(P109)</f>
        <v>235569.9</v>
      </c>
      <c r="Q108" s="130">
        <f>SUM(Q109)</f>
        <v>235569.9</v>
      </c>
      <c r="R108" s="39"/>
      <c r="S108" s="39"/>
      <c r="T108" s="39"/>
      <c r="U108" s="39"/>
    </row>
    <row r="109" spans="1:21" ht="12.75">
      <c r="A109" s="41" t="s">
        <v>286</v>
      </c>
      <c r="B109" s="39" t="s">
        <v>227</v>
      </c>
      <c r="C109" s="82" t="s">
        <v>231</v>
      </c>
      <c r="D109" s="82">
        <v>10</v>
      </c>
      <c r="E109" s="82" t="s">
        <v>237</v>
      </c>
      <c r="F109" s="81"/>
      <c r="G109" s="39">
        <f>SUM(G110)</f>
        <v>404060</v>
      </c>
      <c r="H109" s="130">
        <f>SUM(H110)</f>
        <v>404060</v>
      </c>
      <c r="I109" s="39"/>
      <c r="J109" s="39"/>
      <c r="K109" s="130">
        <f t="shared" si="22"/>
        <v>254060</v>
      </c>
      <c r="L109" s="39">
        <f t="shared" si="22"/>
        <v>235569.9</v>
      </c>
      <c r="M109" s="130">
        <f t="shared" si="22"/>
        <v>235569.9</v>
      </c>
      <c r="N109" s="39"/>
      <c r="O109" s="39"/>
      <c r="P109" s="39">
        <f>SUM(P110)</f>
        <v>235569.9</v>
      </c>
      <c r="Q109" s="130">
        <f>SUM(Q110)</f>
        <v>235569.9</v>
      </c>
      <c r="R109" s="39"/>
      <c r="S109" s="39"/>
      <c r="T109" s="39"/>
      <c r="U109" s="39"/>
    </row>
    <row r="110" spans="1:21" ht="12.75">
      <c r="A110" s="41" t="s">
        <v>238</v>
      </c>
      <c r="B110" s="39" t="s">
        <v>227</v>
      </c>
      <c r="C110" s="82" t="s">
        <v>231</v>
      </c>
      <c r="D110" s="86">
        <v>10</v>
      </c>
      <c r="E110" s="82" t="s">
        <v>237</v>
      </c>
      <c r="F110" s="82" t="s">
        <v>239</v>
      </c>
      <c r="G110" s="39">
        <f>SUM(H110+I110)</f>
        <v>404060</v>
      </c>
      <c r="H110" s="130">
        <f>H111</f>
        <v>404060</v>
      </c>
      <c r="I110" s="39"/>
      <c r="J110" s="39"/>
      <c r="K110" s="130">
        <f>SUM(K111)</f>
        <v>254060</v>
      </c>
      <c r="L110" s="39">
        <f>SUM(M110+N110)</f>
        <v>235569.9</v>
      </c>
      <c r="M110" s="130">
        <f>SUM(M111)</f>
        <v>235569.9</v>
      </c>
      <c r="N110" s="39"/>
      <c r="O110" s="39"/>
      <c r="P110" s="39">
        <f>SUM(Q110+R110)</f>
        <v>235569.9</v>
      </c>
      <c r="Q110" s="130">
        <f>SUM(Q111)</f>
        <v>235569.9</v>
      </c>
      <c r="R110" s="39"/>
      <c r="S110" s="39"/>
      <c r="T110" s="39"/>
      <c r="U110" s="39"/>
    </row>
    <row r="111" spans="1:21" s="22" customFormat="1" ht="12.75">
      <c r="A111" s="101" t="s">
        <v>414</v>
      </c>
      <c r="B111" s="103"/>
      <c r="C111" s="102"/>
      <c r="D111" s="399"/>
      <c r="E111" s="102"/>
      <c r="F111" s="102"/>
      <c r="G111" s="103"/>
      <c r="H111" s="131">
        <f>364060+40000</f>
        <v>404060</v>
      </c>
      <c r="I111" s="103"/>
      <c r="J111" s="103"/>
      <c r="K111" s="131">
        <v>254060</v>
      </c>
      <c r="L111" s="103"/>
      <c r="M111" s="131">
        <v>235569.9</v>
      </c>
      <c r="N111" s="103"/>
      <c r="O111" s="103"/>
      <c r="P111" s="103"/>
      <c r="Q111" s="131">
        <v>235569.9</v>
      </c>
      <c r="R111" s="103"/>
      <c r="S111" s="103"/>
      <c r="T111" s="103"/>
      <c r="U111" s="103"/>
    </row>
    <row r="112" spans="1:21" ht="40.5">
      <c r="A112" s="478" t="s">
        <v>228</v>
      </c>
      <c r="B112" s="130" t="s">
        <v>229</v>
      </c>
      <c r="C112" s="479"/>
      <c r="D112" s="130"/>
      <c r="E112" s="479"/>
      <c r="F112" s="479"/>
      <c r="G112" s="132">
        <f>SUM(G113)</f>
        <v>76935.9</v>
      </c>
      <c r="H112" s="132">
        <f aca="true" t="shared" si="23" ref="H112:S112">SUM(H113)</f>
        <v>54108.3</v>
      </c>
      <c r="I112" s="132">
        <f t="shared" si="23"/>
        <v>0</v>
      </c>
      <c r="J112" s="132">
        <f t="shared" si="23"/>
        <v>22827.6</v>
      </c>
      <c r="K112" s="132">
        <f t="shared" si="23"/>
        <v>40000</v>
      </c>
      <c r="L112" s="132">
        <f t="shared" si="23"/>
        <v>50625.4</v>
      </c>
      <c r="M112" s="132">
        <f t="shared" si="23"/>
        <v>35437.8</v>
      </c>
      <c r="N112" s="132">
        <f t="shared" si="23"/>
        <v>0</v>
      </c>
      <c r="O112" s="132">
        <f>SUM(O113)</f>
        <v>15187.6</v>
      </c>
      <c r="P112" s="132">
        <f>SUM(P113)</f>
        <v>50625.4</v>
      </c>
      <c r="Q112" s="132">
        <f t="shared" si="23"/>
        <v>35437.8</v>
      </c>
      <c r="R112" s="132">
        <f t="shared" si="23"/>
        <v>0</v>
      </c>
      <c r="S112" s="132">
        <f t="shared" si="23"/>
        <v>15187.6</v>
      </c>
      <c r="T112" s="132">
        <f>SUM(M112/K112)*100</f>
        <v>88.59450000000001</v>
      </c>
      <c r="U112" s="130">
        <f>(P112/L112)*100</f>
        <v>100</v>
      </c>
    </row>
    <row r="113" spans="1:21" ht="40.5">
      <c r="A113" s="79" t="s">
        <v>230</v>
      </c>
      <c r="B113" s="39" t="s">
        <v>229</v>
      </c>
      <c r="C113" s="82" t="s">
        <v>231</v>
      </c>
      <c r="D113" s="39"/>
      <c r="E113" s="81"/>
      <c r="F113" s="81"/>
      <c r="G113" s="39">
        <f>G114</f>
        <v>76935.9</v>
      </c>
      <c r="H113" s="130">
        <f aca="true" t="shared" si="24" ref="H113:J115">H114</f>
        <v>54108.3</v>
      </c>
      <c r="I113" s="39">
        <f t="shared" si="24"/>
        <v>0</v>
      </c>
      <c r="J113" s="39">
        <f t="shared" si="24"/>
        <v>22827.6</v>
      </c>
      <c r="K113" s="130">
        <f aca="true" t="shared" si="25" ref="K113:O115">K114</f>
        <v>40000</v>
      </c>
      <c r="L113" s="39">
        <f t="shared" si="25"/>
        <v>50625.4</v>
      </c>
      <c r="M113" s="130">
        <f t="shared" si="25"/>
        <v>35437.8</v>
      </c>
      <c r="N113" s="39">
        <f t="shared" si="25"/>
        <v>0</v>
      </c>
      <c r="O113" s="39">
        <f t="shared" si="25"/>
        <v>15187.6</v>
      </c>
      <c r="P113" s="39">
        <f aca="true" t="shared" si="26" ref="P113:S115">P114</f>
        <v>50625.4</v>
      </c>
      <c r="Q113" s="130">
        <f t="shared" si="26"/>
        <v>35437.8</v>
      </c>
      <c r="R113" s="39">
        <f t="shared" si="26"/>
        <v>0</v>
      </c>
      <c r="S113" s="39">
        <f t="shared" si="26"/>
        <v>15187.6</v>
      </c>
      <c r="T113" s="39"/>
      <c r="U113" s="39"/>
    </row>
    <row r="114" spans="1:21" ht="12.75">
      <c r="A114" s="39" t="s">
        <v>234</v>
      </c>
      <c r="B114" s="39" t="s">
        <v>229</v>
      </c>
      <c r="C114" s="80" t="s">
        <v>231</v>
      </c>
      <c r="D114" s="80" t="s">
        <v>235</v>
      </c>
      <c r="E114" s="82"/>
      <c r="F114" s="82"/>
      <c r="G114" s="39">
        <f>G115</f>
        <v>76935.9</v>
      </c>
      <c r="H114" s="130">
        <f t="shared" si="24"/>
        <v>54108.3</v>
      </c>
      <c r="I114" s="39">
        <f t="shared" si="24"/>
        <v>0</v>
      </c>
      <c r="J114" s="39">
        <f t="shared" si="24"/>
        <v>22827.6</v>
      </c>
      <c r="K114" s="130">
        <f t="shared" si="25"/>
        <v>40000</v>
      </c>
      <c r="L114" s="39">
        <f t="shared" si="25"/>
        <v>50625.4</v>
      </c>
      <c r="M114" s="130">
        <f t="shared" si="25"/>
        <v>35437.8</v>
      </c>
      <c r="N114" s="39">
        <f t="shared" si="25"/>
        <v>0</v>
      </c>
      <c r="O114" s="39">
        <f t="shared" si="25"/>
        <v>15187.6</v>
      </c>
      <c r="P114" s="39">
        <f t="shared" si="26"/>
        <v>50625.4</v>
      </c>
      <c r="Q114" s="130">
        <f t="shared" si="26"/>
        <v>35437.8</v>
      </c>
      <c r="R114" s="39">
        <f t="shared" si="26"/>
        <v>0</v>
      </c>
      <c r="S114" s="39">
        <f t="shared" si="26"/>
        <v>15187.6</v>
      </c>
      <c r="T114" s="39"/>
      <c r="U114" s="39"/>
    </row>
    <row r="115" spans="1:21" ht="12.75">
      <c r="A115" s="39" t="s">
        <v>236</v>
      </c>
      <c r="B115" s="39" t="s">
        <v>229</v>
      </c>
      <c r="C115" s="80" t="s">
        <v>231</v>
      </c>
      <c r="D115" s="80" t="s">
        <v>235</v>
      </c>
      <c r="E115" s="82" t="s">
        <v>237</v>
      </c>
      <c r="F115" s="82"/>
      <c r="G115" s="39">
        <f>G116</f>
        <v>76935.9</v>
      </c>
      <c r="H115" s="130">
        <f>H116</f>
        <v>54108.3</v>
      </c>
      <c r="I115" s="39">
        <f t="shared" si="24"/>
        <v>0</v>
      </c>
      <c r="J115" s="39">
        <f t="shared" si="24"/>
        <v>22827.6</v>
      </c>
      <c r="K115" s="130">
        <f t="shared" si="25"/>
        <v>40000</v>
      </c>
      <c r="L115" s="39">
        <f t="shared" si="25"/>
        <v>50625.4</v>
      </c>
      <c r="M115" s="130">
        <f t="shared" si="25"/>
        <v>35437.8</v>
      </c>
      <c r="N115" s="39">
        <f t="shared" si="25"/>
        <v>0</v>
      </c>
      <c r="O115" s="39">
        <f t="shared" si="25"/>
        <v>15187.6</v>
      </c>
      <c r="P115" s="39">
        <f t="shared" si="26"/>
        <v>50625.4</v>
      </c>
      <c r="Q115" s="130">
        <f t="shared" si="26"/>
        <v>35437.8</v>
      </c>
      <c r="R115" s="39">
        <f t="shared" si="26"/>
        <v>0</v>
      </c>
      <c r="S115" s="39">
        <f t="shared" si="26"/>
        <v>15187.6</v>
      </c>
      <c r="T115" s="39"/>
      <c r="U115" s="39"/>
    </row>
    <row r="116" spans="1:21" ht="12.75">
      <c r="A116" s="39" t="s">
        <v>238</v>
      </c>
      <c r="B116" s="39" t="s">
        <v>229</v>
      </c>
      <c r="C116" s="80" t="s">
        <v>231</v>
      </c>
      <c r="D116" s="80" t="s">
        <v>235</v>
      </c>
      <c r="E116" s="82" t="s">
        <v>237</v>
      </c>
      <c r="F116" s="82" t="s">
        <v>239</v>
      </c>
      <c r="G116" s="39">
        <f>SUM(H116+I116+J116)</f>
        <v>76935.9</v>
      </c>
      <c r="H116" s="130">
        <f>SUM(H117+H118)</f>
        <v>54108.3</v>
      </c>
      <c r="I116" s="39">
        <f>SUM(I117+I118)</f>
        <v>0</v>
      </c>
      <c r="J116" s="39">
        <f>SUM(J117+J118)</f>
        <v>22827.6</v>
      </c>
      <c r="K116" s="130">
        <f>SUM(K117+K118)</f>
        <v>40000</v>
      </c>
      <c r="L116" s="39">
        <f>SUM(M116+N116+O116)</f>
        <v>50625.4</v>
      </c>
      <c r="M116" s="130">
        <f>SUM(M117+M118)</f>
        <v>35437.8</v>
      </c>
      <c r="N116" s="39">
        <f>SUM(N117+N118)</f>
        <v>0</v>
      </c>
      <c r="O116" s="39">
        <f>SUM(O117+O118)</f>
        <v>15187.6</v>
      </c>
      <c r="P116" s="39">
        <f>SUM(Q116+R116+S116)</f>
        <v>50625.4</v>
      </c>
      <c r="Q116" s="130">
        <f>SUM(Q117+Q118)</f>
        <v>35437.8</v>
      </c>
      <c r="R116" s="39">
        <f>SUM(R117+R118)</f>
        <v>0</v>
      </c>
      <c r="S116" s="39">
        <f>SUM(S117+S118)</f>
        <v>15187.6</v>
      </c>
      <c r="T116" s="39"/>
      <c r="U116" s="39"/>
    </row>
    <row r="117" spans="1:21" s="22" customFormat="1" ht="38.25">
      <c r="A117" s="101" t="s">
        <v>411</v>
      </c>
      <c r="B117" s="103"/>
      <c r="C117" s="378"/>
      <c r="D117" s="378"/>
      <c r="E117" s="102"/>
      <c r="F117" s="102"/>
      <c r="G117" s="103"/>
      <c r="H117" s="131">
        <v>53264.3</v>
      </c>
      <c r="I117" s="103">
        <v>0</v>
      </c>
      <c r="J117" s="103">
        <v>22827.6</v>
      </c>
      <c r="K117" s="131">
        <v>40000</v>
      </c>
      <c r="L117" s="103"/>
      <c r="M117" s="247">
        <v>35437.8</v>
      </c>
      <c r="N117" s="103">
        <v>0</v>
      </c>
      <c r="O117" s="103">
        <v>15187.6</v>
      </c>
      <c r="P117" s="103"/>
      <c r="Q117" s="247">
        <v>35437.8</v>
      </c>
      <c r="R117" s="103">
        <v>0</v>
      </c>
      <c r="S117" s="103">
        <v>15187.6</v>
      </c>
      <c r="T117" s="103"/>
      <c r="U117" s="39"/>
    </row>
    <row r="118" spans="1:21" s="22" customFormat="1" ht="38.25">
      <c r="A118" s="101" t="s">
        <v>412</v>
      </c>
      <c r="B118" s="103"/>
      <c r="C118" s="378"/>
      <c r="D118" s="378"/>
      <c r="E118" s="102"/>
      <c r="F118" s="102"/>
      <c r="G118" s="103"/>
      <c r="H118" s="131">
        <v>844</v>
      </c>
      <c r="I118" s="103">
        <v>0</v>
      </c>
      <c r="J118" s="103">
        <v>0</v>
      </c>
      <c r="K118" s="131">
        <v>0</v>
      </c>
      <c r="L118" s="103"/>
      <c r="M118" s="131">
        <v>0</v>
      </c>
      <c r="N118" s="103">
        <v>0</v>
      </c>
      <c r="O118" s="103">
        <v>0</v>
      </c>
      <c r="P118" s="103"/>
      <c r="Q118" s="131">
        <v>0</v>
      </c>
      <c r="R118" s="103">
        <v>0</v>
      </c>
      <c r="S118" s="103">
        <v>0</v>
      </c>
      <c r="T118" s="103"/>
      <c r="U118" s="39"/>
    </row>
    <row r="119" spans="1:21" ht="27">
      <c r="A119" s="478" t="s">
        <v>319</v>
      </c>
      <c r="B119" s="130" t="s">
        <v>320</v>
      </c>
      <c r="C119" s="479"/>
      <c r="D119" s="478"/>
      <c r="E119" s="130"/>
      <c r="F119" s="229"/>
      <c r="G119" s="132">
        <f aca="true" t="shared" si="27" ref="G119:S122">G120</f>
        <v>40000</v>
      </c>
      <c r="H119" s="132">
        <f t="shared" si="27"/>
        <v>20000</v>
      </c>
      <c r="I119" s="132">
        <f t="shared" si="27"/>
        <v>0</v>
      </c>
      <c r="J119" s="132">
        <f t="shared" si="27"/>
        <v>20000</v>
      </c>
      <c r="K119" s="132">
        <f t="shared" si="27"/>
        <v>20000</v>
      </c>
      <c r="L119" s="132">
        <f t="shared" si="27"/>
        <v>30306.6</v>
      </c>
      <c r="M119" s="132">
        <f t="shared" si="27"/>
        <v>15153.3</v>
      </c>
      <c r="N119" s="132">
        <f t="shared" si="27"/>
        <v>0</v>
      </c>
      <c r="O119" s="132">
        <f t="shared" si="27"/>
        <v>15153.3</v>
      </c>
      <c r="P119" s="132">
        <f t="shared" si="27"/>
        <v>30306.6</v>
      </c>
      <c r="Q119" s="132">
        <f t="shared" si="27"/>
        <v>15153.3</v>
      </c>
      <c r="R119" s="132">
        <f t="shared" si="27"/>
        <v>0</v>
      </c>
      <c r="S119" s="132">
        <f t="shared" si="27"/>
        <v>15153.3</v>
      </c>
      <c r="T119" s="132">
        <f>SUM(M119/K119)*100</f>
        <v>75.7665</v>
      </c>
      <c r="U119" s="130">
        <f>(P119/L119)*100</f>
        <v>100</v>
      </c>
    </row>
    <row r="120" spans="1:21" ht="40.5">
      <c r="A120" s="79" t="s">
        <v>230</v>
      </c>
      <c r="B120" s="39" t="s">
        <v>320</v>
      </c>
      <c r="C120" s="81" t="s">
        <v>231</v>
      </c>
      <c r="D120" s="39" t="s">
        <v>235</v>
      </c>
      <c r="E120" s="81"/>
      <c r="F120" s="81"/>
      <c r="G120" s="39">
        <f t="shared" si="27"/>
        <v>40000</v>
      </c>
      <c r="H120" s="130">
        <f t="shared" si="27"/>
        <v>20000</v>
      </c>
      <c r="I120" s="39">
        <f t="shared" si="27"/>
        <v>0</v>
      </c>
      <c r="J120" s="39">
        <f t="shared" si="27"/>
        <v>20000</v>
      </c>
      <c r="K120" s="130">
        <f t="shared" si="27"/>
        <v>20000</v>
      </c>
      <c r="L120" s="39">
        <f t="shared" si="27"/>
        <v>30306.6</v>
      </c>
      <c r="M120" s="130">
        <f t="shared" si="27"/>
        <v>15153.3</v>
      </c>
      <c r="N120" s="39">
        <f t="shared" si="27"/>
        <v>0</v>
      </c>
      <c r="O120" s="39">
        <f t="shared" si="27"/>
        <v>15153.3</v>
      </c>
      <c r="P120" s="39">
        <f t="shared" si="27"/>
        <v>30306.6</v>
      </c>
      <c r="Q120" s="130">
        <f t="shared" si="27"/>
        <v>15153.3</v>
      </c>
      <c r="R120" s="39">
        <f t="shared" si="27"/>
        <v>0</v>
      </c>
      <c r="S120" s="39">
        <f t="shared" si="27"/>
        <v>15153.3</v>
      </c>
      <c r="T120" s="40"/>
      <c r="U120" s="39"/>
    </row>
    <row r="121" spans="1:21" ht="13.5">
      <c r="A121" s="79" t="s">
        <v>234</v>
      </c>
      <c r="B121" s="39" t="s">
        <v>320</v>
      </c>
      <c r="C121" s="82" t="s">
        <v>231</v>
      </c>
      <c r="D121" s="39" t="s">
        <v>235</v>
      </c>
      <c r="E121" s="81" t="s">
        <v>237</v>
      </c>
      <c r="F121" s="81"/>
      <c r="G121" s="39">
        <f t="shared" si="27"/>
        <v>40000</v>
      </c>
      <c r="H121" s="130">
        <f t="shared" si="27"/>
        <v>20000</v>
      </c>
      <c r="I121" s="39">
        <f t="shared" si="27"/>
        <v>0</v>
      </c>
      <c r="J121" s="39">
        <f t="shared" si="27"/>
        <v>20000</v>
      </c>
      <c r="K121" s="130">
        <f t="shared" si="27"/>
        <v>20000</v>
      </c>
      <c r="L121" s="39">
        <f t="shared" si="27"/>
        <v>30306.6</v>
      </c>
      <c r="M121" s="130">
        <f t="shared" si="27"/>
        <v>15153.3</v>
      </c>
      <c r="N121" s="39">
        <f t="shared" si="27"/>
        <v>0</v>
      </c>
      <c r="O121" s="39">
        <f t="shared" si="27"/>
        <v>15153.3</v>
      </c>
      <c r="P121" s="39">
        <f t="shared" si="27"/>
        <v>30306.6</v>
      </c>
      <c r="Q121" s="130">
        <f t="shared" si="27"/>
        <v>15153.3</v>
      </c>
      <c r="R121" s="39">
        <f t="shared" si="27"/>
        <v>0</v>
      </c>
      <c r="S121" s="39">
        <f t="shared" si="27"/>
        <v>15153.3</v>
      </c>
      <c r="T121" s="39"/>
      <c r="U121" s="39"/>
    </row>
    <row r="122" spans="1:21" ht="12.75">
      <c r="A122" s="39" t="s">
        <v>236</v>
      </c>
      <c r="B122" s="39" t="s">
        <v>320</v>
      </c>
      <c r="C122" s="80" t="s">
        <v>231</v>
      </c>
      <c r="D122" s="80" t="s">
        <v>235</v>
      </c>
      <c r="E122" s="82" t="s">
        <v>237</v>
      </c>
      <c r="F122" s="82"/>
      <c r="G122" s="39">
        <f t="shared" si="27"/>
        <v>40000</v>
      </c>
      <c r="H122" s="130">
        <f t="shared" si="27"/>
        <v>20000</v>
      </c>
      <c r="I122" s="39">
        <f t="shared" si="27"/>
        <v>0</v>
      </c>
      <c r="J122" s="39">
        <f t="shared" si="27"/>
        <v>20000</v>
      </c>
      <c r="K122" s="130">
        <f t="shared" si="27"/>
        <v>20000</v>
      </c>
      <c r="L122" s="39">
        <f t="shared" si="27"/>
        <v>30306.6</v>
      </c>
      <c r="M122" s="130">
        <f t="shared" si="27"/>
        <v>15153.3</v>
      </c>
      <c r="N122" s="39">
        <f t="shared" si="27"/>
        <v>0</v>
      </c>
      <c r="O122" s="39">
        <f t="shared" si="27"/>
        <v>15153.3</v>
      </c>
      <c r="P122" s="39">
        <f t="shared" si="27"/>
        <v>30306.6</v>
      </c>
      <c r="Q122" s="130">
        <f t="shared" si="27"/>
        <v>15153.3</v>
      </c>
      <c r="R122" s="39">
        <f t="shared" si="27"/>
        <v>0</v>
      </c>
      <c r="S122" s="39">
        <f t="shared" si="27"/>
        <v>15153.3</v>
      </c>
      <c r="T122" s="39"/>
      <c r="U122" s="39"/>
    </row>
    <row r="123" spans="1:21" ht="12.75">
      <c r="A123" s="39" t="s">
        <v>238</v>
      </c>
      <c r="B123" s="39" t="s">
        <v>321</v>
      </c>
      <c r="C123" s="80" t="s">
        <v>231</v>
      </c>
      <c r="D123" s="80" t="s">
        <v>235</v>
      </c>
      <c r="E123" s="82" t="s">
        <v>237</v>
      </c>
      <c r="F123" s="82" t="s">
        <v>239</v>
      </c>
      <c r="G123" s="39">
        <f>H123+I123+J123</f>
        <v>40000</v>
      </c>
      <c r="H123" s="130">
        <f>H124</f>
        <v>20000</v>
      </c>
      <c r="I123" s="39">
        <f>I124</f>
        <v>0</v>
      </c>
      <c r="J123" s="39">
        <f>J124</f>
        <v>20000</v>
      </c>
      <c r="K123" s="130">
        <f>K124</f>
        <v>20000</v>
      </c>
      <c r="L123" s="39">
        <f>M123+N123+O123</f>
        <v>30306.6</v>
      </c>
      <c r="M123" s="130">
        <f>M124</f>
        <v>15153.3</v>
      </c>
      <c r="N123" s="39">
        <f>N124</f>
        <v>0</v>
      </c>
      <c r="O123" s="39">
        <f>O124</f>
        <v>15153.3</v>
      </c>
      <c r="P123" s="39">
        <f>Q123+R123+S123</f>
        <v>30306.6</v>
      </c>
      <c r="Q123" s="130">
        <f>Q124</f>
        <v>15153.3</v>
      </c>
      <c r="R123" s="39">
        <f>R124</f>
        <v>0</v>
      </c>
      <c r="S123" s="39">
        <f>S124</f>
        <v>15153.3</v>
      </c>
      <c r="T123" s="39"/>
      <c r="U123" s="39"/>
    </row>
    <row r="124" spans="1:21" s="22" customFormat="1" ht="25.5">
      <c r="A124" s="101" t="s">
        <v>410</v>
      </c>
      <c r="B124" s="103"/>
      <c r="C124" s="378"/>
      <c r="D124" s="378"/>
      <c r="E124" s="102"/>
      <c r="F124" s="102"/>
      <c r="G124" s="103"/>
      <c r="H124" s="131">
        <v>20000</v>
      </c>
      <c r="I124" s="103">
        <v>0</v>
      </c>
      <c r="J124" s="103">
        <v>20000</v>
      </c>
      <c r="K124" s="131">
        <v>20000</v>
      </c>
      <c r="L124" s="103"/>
      <c r="M124" s="131">
        <v>15153.3</v>
      </c>
      <c r="N124" s="103">
        <v>0</v>
      </c>
      <c r="O124" s="103">
        <v>15153.3</v>
      </c>
      <c r="P124" s="103"/>
      <c r="Q124" s="131">
        <v>15153.3</v>
      </c>
      <c r="R124" s="103"/>
      <c r="S124" s="103">
        <v>15153.3</v>
      </c>
      <c r="T124" s="103"/>
      <c r="U124" s="103"/>
    </row>
  </sheetData>
  <mergeCells count="18">
    <mergeCell ref="A71:A72"/>
    <mergeCell ref="A73:A74"/>
    <mergeCell ref="D2:K2"/>
    <mergeCell ref="D1:K1"/>
    <mergeCell ref="A30:A31"/>
    <mergeCell ref="A32:A33"/>
    <mergeCell ref="A5:A7"/>
    <mergeCell ref="B5:B7"/>
    <mergeCell ref="A22:A23"/>
    <mergeCell ref="A24:A25"/>
    <mergeCell ref="U5:U7"/>
    <mergeCell ref="T5:T7"/>
    <mergeCell ref="C5:C7"/>
    <mergeCell ref="P5:R5"/>
    <mergeCell ref="D5:D7"/>
    <mergeCell ref="E5:E7"/>
    <mergeCell ref="F5:F7"/>
    <mergeCell ref="K5:K7"/>
  </mergeCells>
  <printOptions gridLines="1"/>
  <pageMargins left="0.1968503937007874" right="0" top="0.5905511811023623" bottom="0.1968503937007874" header="0.5118110236220472" footer="0.5118110236220472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U91"/>
  <sheetViews>
    <sheetView zoomScale="120" zoomScaleNormal="120" workbookViewId="0" topLeftCell="A1">
      <selection activeCell="L95" sqref="L94:L95"/>
    </sheetView>
  </sheetViews>
  <sheetFormatPr defaultColWidth="9.00390625" defaultRowHeight="12.75"/>
  <cols>
    <col min="1" max="1" width="34.00390625" style="1" customWidth="1"/>
    <col min="2" max="2" width="9.00390625" style="1" customWidth="1"/>
    <col min="3" max="3" width="3.875" style="2" customWidth="1"/>
    <col min="4" max="4" width="3.25390625" style="1" customWidth="1"/>
    <col min="5" max="5" width="3.25390625" style="2" customWidth="1"/>
    <col min="6" max="6" width="3.375" style="2" customWidth="1"/>
    <col min="7" max="7" width="8.625" style="1" customWidth="1"/>
    <col min="8" max="8" width="7.75390625" style="1" customWidth="1"/>
    <col min="9" max="9" width="10.125" style="1" customWidth="1"/>
    <col min="10" max="10" width="6.75390625" style="1" customWidth="1"/>
    <col min="11" max="11" width="8.625" style="1" customWidth="1"/>
    <col min="12" max="12" width="10.25390625" style="1" customWidth="1"/>
    <col min="13" max="13" width="8.00390625" style="1" customWidth="1"/>
    <col min="14" max="14" width="8.75390625" style="1" customWidth="1"/>
    <col min="15" max="15" width="5.875" style="1" customWidth="1"/>
    <col min="16" max="16" width="8.75390625" style="1" customWidth="1"/>
    <col min="17" max="17" width="7.75390625" style="1" customWidth="1"/>
    <col min="18" max="18" width="9.25390625" style="1" customWidth="1"/>
    <col min="19" max="19" width="6.625" style="1" customWidth="1"/>
    <col min="20" max="20" width="5.00390625" style="23" customWidth="1"/>
    <col min="21" max="21" width="5.375" style="23" customWidth="1"/>
    <col min="22" max="16384" width="9.125" style="1" customWidth="1"/>
  </cols>
  <sheetData>
    <row r="1" ht="14.25">
      <c r="I1" s="21" t="s">
        <v>307</v>
      </c>
    </row>
    <row r="2" ht="14.25">
      <c r="I2" s="21" t="s">
        <v>87</v>
      </c>
    </row>
    <row r="3" ht="13.5" customHeight="1">
      <c r="I3" s="21" t="s">
        <v>152</v>
      </c>
    </row>
    <row r="4" ht="12.75">
      <c r="S4" s="125" t="s">
        <v>308</v>
      </c>
    </row>
    <row r="5" spans="1:21" s="50" customFormat="1" ht="12.75" customHeight="1">
      <c r="A5" s="645"/>
      <c r="B5" s="636" t="s">
        <v>213</v>
      </c>
      <c r="C5" s="636" t="s">
        <v>214</v>
      </c>
      <c r="D5" s="636" t="s">
        <v>215</v>
      </c>
      <c r="E5" s="636" t="s">
        <v>216</v>
      </c>
      <c r="F5" s="636" t="s">
        <v>218</v>
      </c>
      <c r="G5" s="46"/>
      <c r="H5" s="126"/>
      <c r="I5" s="47" t="s">
        <v>300</v>
      </c>
      <c r="J5" s="48"/>
      <c r="K5" s="636" t="s">
        <v>88</v>
      </c>
      <c r="L5" s="46"/>
      <c r="M5" s="126"/>
      <c r="N5" s="49" t="s">
        <v>301</v>
      </c>
      <c r="O5" s="48"/>
      <c r="P5" s="648" t="s">
        <v>302</v>
      </c>
      <c r="Q5" s="649"/>
      <c r="R5" s="649"/>
      <c r="S5" s="650"/>
      <c r="T5" s="642" t="s">
        <v>339</v>
      </c>
      <c r="U5" s="642" t="s">
        <v>290</v>
      </c>
    </row>
    <row r="6" spans="1:21" s="50" customFormat="1" ht="14.25" customHeight="1">
      <c r="A6" s="646"/>
      <c r="B6" s="637"/>
      <c r="C6" s="637"/>
      <c r="D6" s="637"/>
      <c r="E6" s="637"/>
      <c r="F6" s="637"/>
      <c r="G6" s="634" t="s">
        <v>304</v>
      </c>
      <c r="H6" s="639" t="s">
        <v>303</v>
      </c>
      <c r="I6" s="640"/>
      <c r="J6" s="641"/>
      <c r="K6" s="637"/>
      <c r="L6" s="634" t="s">
        <v>304</v>
      </c>
      <c r="M6" s="639" t="s">
        <v>303</v>
      </c>
      <c r="N6" s="640"/>
      <c r="O6" s="641"/>
      <c r="P6" s="634" t="s">
        <v>304</v>
      </c>
      <c r="Q6" s="639" t="s">
        <v>303</v>
      </c>
      <c r="R6" s="640"/>
      <c r="S6" s="641"/>
      <c r="T6" s="643"/>
      <c r="U6" s="643"/>
    </row>
    <row r="7" spans="1:21" s="50" customFormat="1" ht="41.25" customHeight="1">
      <c r="A7" s="647"/>
      <c r="B7" s="638"/>
      <c r="C7" s="638"/>
      <c r="D7" s="638"/>
      <c r="E7" s="638"/>
      <c r="F7" s="638"/>
      <c r="G7" s="635"/>
      <c r="H7" s="52" t="s">
        <v>145</v>
      </c>
      <c r="I7" s="53" t="s">
        <v>305</v>
      </c>
      <c r="J7" s="54" t="s">
        <v>306</v>
      </c>
      <c r="K7" s="638"/>
      <c r="L7" s="635"/>
      <c r="M7" s="52" t="s">
        <v>145</v>
      </c>
      <c r="N7" s="53" t="s">
        <v>305</v>
      </c>
      <c r="O7" s="54" t="s">
        <v>306</v>
      </c>
      <c r="P7" s="635"/>
      <c r="Q7" s="52" t="s">
        <v>145</v>
      </c>
      <c r="R7" s="53" t="s">
        <v>305</v>
      </c>
      <c r="S7" s="127" t="s">
        <v>306</v>
      </c>
      <c r="T7" s="644"/>
      <c r="U7" s="644"/>
    </row>
    <row r="8" spans="1:21" ht="21.75" customHeight="1">
      <c r="A8" s="10" t="s">
        <v>310</v>
      </c>
      <c r="B8" s="7" t="s">
        <v>233</v>
      </c>
      <c r="G8" s="7">
        <f>H8+I8+J8</f>
        <v>801102.0959999999</v>
      </c>
      <c r="H8" s="7">
        <f>H10</f>
        <v>314.996</v>
      </c>
      <c r="I8" s="129">
        <f>I10+I79</f>
        <v>795661.3999999999</v>
      </c>
      <c r="J8" s="570">
        <f>J10+J79</f>
        <v>5125.699999999999</v>
      </c>
      <c r="K8" s="129">
        <f>K10+K79</f>
        <v>153498.2</v>
      </c>
      <c r="L8" s="7">
        <f>M8+N8+O8</f>
        <v>94250.4</v>
      </c>
      <c r="M8" s="7">
        <f>M10</f>
        <v>0</v>
      </c>
      <c r="N8" s="129">
        <f>N10+N79</f>
        <v>94250.4</v>
      </c>
      <c r="O8" s="570">
        <f>O10+O79</f>
        <v>0</v>
      </c>
      <c r="P8" s="7">
        <f>Q8+R8+S8</f>
        <v>94250.4</v>
      </c>
      <c r="Q8" s="7">
        <f>Q10</f>
        <v>0</v>
      </c>
      <c r="R8" s="129">
        <f>R10+R79</f>
        <v>94250.4</v>
      </c>
      <c r="S8" s="570">
        <f>S10+S79</f>
        <v>0</v>
      </c>
      <c r="T8" s="27">
        <f>SUM(N8/K8)*100</f>
        <v>61.40163207125555</v>
      </c>
      <c r="U8" s="23">
        <f>P8/L8*100</f>
        <v>100</v>
      </c>
    </row>
    <row r="9" spans="1:21" s="149" customFormat="1" ht="15.75" customHeight="1">
      <c r="A9" s="394" t="s">
        <v>51</v>
      </c>
      <c r="B9" s="395"/>
      <c r="C9" s="393"/>
      <c r="E9" s="393"/>
      <c r="F9" s="393"/>
      <c r="G9" s="395"/>
      <c r="H9" s="395"/>
      <c r="I9" s="396"/>
      <c r="J9" s="395"/>
      <c r="K9" s="396"/>
      <c r="L9" s="395"/>
      <c r="M9" s="395"/>
      <c r="N9" s="396"/>
      <c r="O9" s="395"/>
      <c r="P9" s="395"/>
      <c r="Q9" s="395"/>
      <c r="R9" s="396">
        <f>R44+R46+R48+R51+R53+R55+R84</f>
        <v>19610.699999999997</v>
      </c>
      <c r="S9" s="411">
        <f>S44+S46+S48+S51+S53+S55+S84</f>
        <v>198.1</v>
      </c>
      <c r="T9" s="397"/>
      <c r="U9" s="26"/>
    </row>
    <row r="10" spans="1:21" ht="40.5">
      <c r="A10" s="79" t="s">
        <v>230</v>
      </c>
      <c r="B10" s="40" t="s">
        <v>233</v>
      </c>
      <c r="C10" s="77" t="s">
        <v>231</v>
      </c>
      <c r="D10" s="40"/>
      <c r="E10" s="87"/>
      <c r="F10" s="87"/>
      <c r="G10" s="40">
        <f aca="true" t="shared" si="0" ref="G10:S10">G11+G23+G34+G38</f>
        <v>785578.4959999999</v>
      </c>
      <c r="H10" s="40">
        <f t="shared" si="0"/>
        <v>314.996</v>
      </c>
      <c r="I10" s="132">
        <f t="shared" si="0"/>
        <v>780137.7999999999</v>
      </c>
      <c r="J10" s="40">
        <f t="shared" si="0"/>
        <v>5125.699999999999</v>
      </c>
      <c r="K10" s="132">
        <f t="shared" si="0"/>
        <v>150998.2</v>
      </c>
      <c r="L10" s="40">
        <f t="shared" si="0"/>
        <v>94250.4</v>
      </c>
      <c r="M10" s="40">
        <f t="shared" si="0"/>
        <v>0</v>
      </c>
      <c r="N10" s="132">
        <f t="shared" si="0"/>
        <v>94250.4</v>
      </c>
      <c r="O10" s="40">
        <f t="shared" si="0"/>
        <v>0</v>
      </c>
      <c r="P10" s="40">
        <f t="shared" si="0"/>
        <v>94250.4</v>
      </c>
      <c r="Q10" s="40">
        <f t="shared" si="0"/>
        <v>0</v>
      </c>
      <c r="R10" s="132">
        <f t="shared" si="0"/>
        <v>94250.4</v>
      </c>
      <c r="S10" s="40">
        <f t="shared" si="0"/>
        <v>0</v>
      </c>
      <c r="T10" s="222">
        <f>SUM(N10/K10)*100</f>
        <v>62.41822750204968</v>
      </c>
      <c r="U10" s="222">
        <f>P10/L10*100</f>
        <v>100</v>
      </c>
    </row>
    <row r="11" spans="1:21" ht="12.75">
      <c r="A11" s="39" t="s">
        <v>279</v>
      </c>
      <c r="B11" s="39" t="s">
        <v>233</v>
      </c>
      <c r="C11" s="80" t="s">
        <v>231</v>
      </c>
      <c r="D11" s="82" t="s">
        <v>271</v>
      </c>
      <c r="E11" s="81"/>
      <c r="F11" s="81"/>
      <c r="G11" s="39">
        <f>G12</f>
        <v>210021.1</v>
      </c>
      <c r="H11" s="39"/>
      <c r="I11" s="130">
        <f aca="true" t="shared" si="1" ref="I11:K13">I12</f>
        <v>209945.9</v>
      </c>
      <c r="J11" s="39">
        <f t="shared" si="1"/>
        <v>75.2</v>
      </c>
      <c r="K11" s="130">
        <f t="shared" si="1"/>
        <v>81228.5</v>
      </c>
      <c r="L11" s="39">
        <f aca="true" t="shared" si="2" ref="L11:S13">L12</f>
        <v>54879.3</v>
      </c>
      <c r="M11" s="39"/>
      <c r="N11" s="130">
        <f t="shared" si="2"/>
        <v>54879.3</v>
      </c>
      <c r="O11" s="39">
        <f t="shared" si="2"/>
        <v>0</v>
      </c>
      <c r="P11" s="39">
        <f t="shared" si="2"/>
        <v>54879.3</v>
      </c>
      <c r="Q11" s="39"/>
      <c r="R11" s="130">
        <f t="shared" si="2"/>
        <v>54879.3</v>
      </c>
      <c r="S11" s="39">
        <f t="shared" si="2"/>
        <v>0</v>
      </c>
      <c r="T11" s="118">
        <f>SUM(N11/K11)*100</f>
        <v>67.56163169330962</v>
      </c>
      <c r="U11" s="118">
        <f>P11/L11*100</f>
        <v>100</v>
      </c>
    </row>
    <row r="12" spans="1:21" ht="12" customHeight="1">
      <c r="A12" s="41" t="s">
        <v>325</v>
      </c>
      <c r="B12" s="39" t="s">
        <v>233</v>
      </c>
      <c r="C12" s="80" t="s">
        <v>231</v>
      </c>
      <c r="D12" s="82" t="s">
        <v>271</v>
      </c>
      <c r="E12" s="82" t="s">
        <v>253</v>
      </c>
      <c r="F12" s="81"/>
      <c r="G12" s="39">
        <f>H12+I12+J12</f>
        <v>210021.1</v>
      </c>
      <c r="H12" s="39"/>
      <c r="I12" s="130">
        <f>I13+I17+I22</f>
        <v>209945.9</v>
      </c>
      <c r="J12" s="39">
        <f>J13+J17</f>
        <v>75.2</v>
      </c>
      <c r="K12" s="130">
        <f>K13+K17+K22</f>
        <v>81228.5</v>
      </c>
      <c r="L12" s="39">
        <f>M12+N12+O12</f>
        <v>54879.3</v>
      </c>
      <c r="M12" s="39"/>
      <c r="N12" s="130">
        <f>N13+N17+N22</f>
        <v>54879.3</v>
      </c>
      <c r="O12" s="39">
        <f>O13+O17</f>
        <v>0</v>
      </c>
      <c r="P12" s="39">
        <f>Q12+R12+S12</f>
        <v>54879.3</v>
      </c>
      <c r="Q12" s="39"/>
      <c r="R12" s="130">
        <f>R13+R17+R22</f>
        <v>54879.3</v>
      </c>
      <c r="S12" s="39">
        <f>S13+S17</f>
        <v>0</v>
      </c>
      <c r="T12" s="118">
        <f>SUM(N12/K12)*100</f>
        <v>67.56163169330962</v>
      </c>
      <c r="U12" s="118"/>
    </row>
    <row r="13" spans="1:21" ht="12.75">
      <c r="A13" s="41" t="s">
        <v>257</v>
      </c>
      <c r="B13" s="39" t="s">
        <v>233</v>
      </c>
      <c r="C13" s="80" t="s">
        <v>231</v>
      </c>
      <c r="D13" s="82" t="s">
        <v>271</v>
      </c>
      <c r="E13" s="82" t="s">
        <v>253</v>
      </c>
      <c r="F13" s="82" t="s">
        <v>258</v>
      </c>
      <c r="G13" s="39">
        <f>G14</f>
        <v>2507.6000000000004</v>
      </c>
      <c r="H13" s="39"/>
      <c r="I13" s="130">
        <f>I14</f>
        <v>2507.6000000000004</v>
      </c>
      <c r="J13" s="39">
        <f>J14</f>
        <v>0</v>
      </c>
      <c r="K13" s="130">
        <f t="shared" si="1"/>
        <v>1138.5</v>
      </c>
      <c r="L13" s="39">
        <f t="shared" si="2"/>
        <v>0</v>
      </c>
      <c r="M13" s="39"/>
      <c r="N13" s="130">
        <f t="shared" si="2"/>
        <v>0</v>
      </c>
      <c r="O13" s="39">
        <f t="shared" si="2"/>
        <v>0</v>
      </c>
      <c r="P13" s="39">
        <f t="shared" si="2"/>
        <v>0</v>
      </c>
      <c r="Q13" s="39"/>
      <c r="R13" s="130">
        <f t="shared" si="2"/>
        <v>0</v>
      </c>
      <c r="S13" s="39">
        <f t="shared" si="2"/>
        <v>0</v>
      </c>
      <c r="T13" s="118">
        <f>SUM(N13/K13)*100</f>
        <v>0</v>
      </c>
      <c r="U13" s="118"/>
    </row>
    <row r="14" spans="1:21" ht="25.5" customHeight="1">
      <c r="A14" s="101" t="s">
        <v>140</v>
      </c>
      <c r="B14" s="103" t="s">
        <v>233</v>
      </c>
      <c r="C14" s="378" t="s">
        <v>231</v>
      </c>
      <c r="D14" s="102" t="s">
        <v>271</v>
      </c>
      <c r="E14" s="102" t="s">
        <v>253</v>
      </c>
      <c r="F14" s="102" t="s">
        <v>258</v>
      </c>
      <c r="G14" s="103">
        <f>H14+I14+J14</f>
        <v>2507.6000000000004</v>
      </c>
      <c r="H14" s="103"/>
      <c r="I14" s="247">
        <f>I15+I16</f>
        <v>2507.6000000000004</v>
      </c>
      <c r="J14" s="112">
        <f>J15+J16</f>
        <v>0</v>
      </c>
      <c r="K14" s="247">
        <f>K15+K16</f>
        <v>1138.5</v>
      </c>
      <c r="L14" s="103">
        <f>M14+N14+O14</f>
        <v>0</v>
      </c>
      <c r="M14" s="103"/>
      <c r="N14" s="379">
        <f>N15+N16</f>
        <v>0</v>
      </c>
      <c r="O14" s="103">
        <f>O15+O16</f>
        <v>0</v>
      </c>
      <c r="P14" s="103">
        <f>Q14+R14+S14</f>
        <v>0</v>
      </c>
      <c r="Q14" s="103"/>
      <c r="R14" s="379">
        <f>R15+R16</f>
        <v>0</v>
      </c>
      <c r="S14" s="103">
        <f>S15+S16</f>
        <v>0</v>
      </c>
      <c r="T14" s="118">
        <f>SUM(N14/K14)*100</f>
        <v>0</v>
      </c>
      <c r="U14" s="118">
        <v>0</v>
      </c>
    </row>
    <row r="15" spans="1:21" s="377" customFormat="1" ht="69" customHeight="1">
      <c r="A15" s="380" t="s">
        <v>475</v>
      </c>
      <c r="B15" s="381"/>
      <c r="C15" s="382"/>
      <c r="D15" s="383"/>
      <c r="E15" s="383"/>
      <c r="F15" s="383"/>
      <c r="G15" s="381"/>
      <c r="H15" s="381"/>
      <c r="I15" s="384">
        <f>313.3+513.6</f>
        <v>826.9000000000001</v>
      </c>
      <c r="J15" s="381">
        <v>0</v>
      </c>
      <c r="K15" s="384">
        <v>313.3</v>
      </c>
      <c r="L15" s="381"/>
      <c r="M15" s="381"/>
      <c r="N15" s="384">
        <v>0</v>
      </c>
      <c r="O15" s="381">
        <v>0</v>
      </c>
      <c r="P15" s="381"/>
      <c r="Q15" s="381"/>
      <c r="R15" s="384">
        <v>0</v>
      </c>
      <c r="S15" s="381">
        <v>0</v>
      </c>
      <c r="T15" s="381"/>
      <c r="U15" s="381"/>
    </row>
    <row r="16" spans="1:21" s="377" customFormat="1" ht="57.75" customHeight="1">
      <c r="A16" s="380" t="s">
        <v>476</v>
      </c>
      <c r="B16" s="381"/>
      <c r="C16" s="382"/>
      <c r="D16" s="383"/>
      <c r="E16" s="383"/>
      <c r="F16" s="383"/>
      <c r="G16" s="381"/>
      <c r="H16" s="381"/>
      <c r="I16" s="384">
        <f>825.2+855.5</f>
        <v>1680.7</v>
      </c>
      <c r="J16" s="381">
        <v>0</v>
      </c>
      <c r="K16" s="384">
        <v>825.2</v>
      </c>
      <c r="L16" s="381"/>
      <c r="M16" s="381"/>
      <c r="N16" s="384">
        <v>0</v>
      </c>
      <c r="O16" s="381">
        <v>0</v>
      </c>
      <c r="P16" s="381"/>
      <c r="Q16" s="381"/>
      <c r="R16" s="384">
        <v>0</v>
      </c>
      <c r="S16" s="381">
        <v>0</v>
      </c>
      <c r="T16" s="381"/>
      <c r="U16" s="381"/>
    </row>
    <row r="17" spans="1:21" ht="15" customHeight="1">
      <c r="A17" s="387" t="s">
        <v>240</v>
      </c>
      <c r="B17" s="39" t="s">
        <v>233</v>
      </c>
      <c r="C17" s="80" t="s">
        <v>231</v>
      </c>
      <c r="D17" s="82" t="s">
        <v>271</v>
      </c>
      <c r="E17" s="82" t="s">
        <v>253</v>
      </c>
      <c r="F17" s="82" t="s">
        <v>241</v>
      </c>
      <c r="G17" s="39">
        <f>G18</f>
        <v>7513.5</v>
      </c>
      <c r="H17" s="39"/>
      <c r="I17" s="130">
        <f>I18</f>
        <v>7438.3</v>
      </c>
      <c r="J17" s="39">
        <f>J18</f>
        <v>75.2</v>
      </c>
      <c r="K17" s="130">
        <f>K18</f>
        <v>90</v>
      </c>
      <c r="L17" s="39">
        <f>L18</f>
        <v>0</v>
      </c>
      <c r="M17" s="39"/>
      <c r="N17" s="130">
        <f>N18</f>
        <v>0</v>
      </c>
      <c r="O17" s="39">
        <f>O18</f>
        <v>0</v>
      </c>
      <c r="P17" s="39">
        <f>P18</f>
        <v>0</v>
      </c>
      <c r="Q17" s="39"/>
      <c r="R17" s="130">
        <f>R18</f>
        <v>0</v>
      </c>
      <c r="S17" s="39">
        <f>S18</f>
        <v>0</v>
      </c>
      <c r="T17" s="118"/>
      <c r="U17" s="118"/>
    </row>
    <row r="18" spans="1:21" s="377" customFormat="1" ht="24.75" customHeight="1">
      <c r="A18" s="243" t="s">
        <v>242</v>
      </c>
      <c r="B18" s="112" t="s">
        <v>233</v>
      </c>
      <c r="C18" s="240" t="s">
        <v>231</v>
      </c>
      <c r="D18" s="156" t="s">
        <v>271</v>
      </c>
      <c r="E18" s="156" t="s">
        <v>253</v>
      </c>
      <c r="F18" s="156" t="s">
        <v>241</v>
      </c>
      <c r="G18" s="112">
        <f>H18+I18+J18</f>
        <v>7513.5</v>
      </c>
      <c r="H18" s="112"/>
      <c r="I18" s="247">
        <f>I19+I21</f>
        <v>7438.3</v>
      </c>
      <c r="J18" s="112">
        <f>J19+J21</f>
        <v>75.2</v>
      </c>
      <c r="K18" s="247">
        <f>K19+K21</f>
        <v>90</v>
      </c>
      <c r="L18" s="112">
        <f>M18+N18+O18</f>
        <v>0</v>
      </c>
      <c r="M18" s="112"/>
      <c r="N18" s="247">
        <f>N19+N21</f>
        <v>0</v>
      </c>
      <c r="O18" s="112">
        <f>O19+O21</f>
        <v>0</v>
      </c>
      <c r="P18" s="112">
        <f>Q18+R18+S18</f>
        <v>0</v>
      </c>
      <c r="Q18" s="112"/>
      <c r="R18" s="247">
        <f>R19+R21</f>
        <v>0</v>
      </c>
      <c r="S18" s="112">
        <f>S19+S21</f>
        <v>0</v>
      </c>
      <c r="T18" s="118">
        <f>SUM(N18/K18)*100</f>
        <v>0</v>
      </c>
      <c r="U18" s="392">
        <v>0</v>
      </c>
    </row>
    <row r="19" spans="1:21" s="377" customFormat="1" ht="12.75" customHeight="1">
      <c r="A19" s="385" t="s">
        <v>58</v>
      </c>
      <c r="B19" s="381"/>
      <c r="C19" s="382"/>
      <c r="D19" s="383"/>
      <c r="E19" s="383"/>
      <c r="F19" s="383"/>
      <c r="G19" s="381"/>
      <c r="H19" s="381"/>
      <c r="I19" s="384">
        <f>I20</f>
        <v>5648.3</v>
      </c>
      <c r="J19" s="381">
        <f>J20</f>
        <v>57.1</v>
      </c>
      <c r="K19" s="384">
        <f>K20</f>
        <v>0</v>
      </c>
      <c r="L19" s="381"/>
      <c r="M19" s="381"/>
      <c r="N19" s="384">
        <f>N20</f>
        <v>0</v>
      </c>
      <c r="O19" s="381">
        <f>O20</f>
        <v>0</v>
      </c>
      <c r="P19" s="381"/>
      <c r="Q19" s="381"/>
      <c r="R19" s="384">
        <f>R20</f>
        <v>0</v>
      </c>
      <c r="S19" s="381">
        <f>S20</f>
        <v>0</v>
      </c>
      <c r="T19" s="381"/>
      <c r="U19" s="381"/>
    </row>
    <row r="20" spans="1:21" s="377" customFormat="1" ht="34.5" customHeight="1">
      <c r="A20" s="380" t="s">
        <v>57</v>
      </c>
      <c r="B20" s="381"/>
      <c r="C20" s="382"/>
      <c r="D20" s="383"/>
      <c r="E20" s="383"/>
      <c r="F20" s="383"/>
      <c r="G20" s="381"/>
      <c r="H20" s="381"/>
      <c r="I20" s="384">
        <v>5648.3</v>
      </c>
      <c r="J20" s="381">
        <v>57.1</v>
      </c>
      <c r="K20" s="384">
        <v>0</v>
      </c>
      <c r="L20" s="381"/>
      <c r="M20" s="381"/>
      <c r="N20" s="384">
        <v>0</v>
      </c>
      <c r="O20" s="381">
        <v>0</v>
      </c>
      <c r="P20" s="381"/>
      <c r="Q20" s="381"/>
      <c r="R20" s="384">
        <v>0</v>
      </c>
      <c r="S20" s="381">
        <v>0</v>
      </c>
      <c r="T20" s="381"/>
      <c r="U20" s="381"/>
    </row>
    <row r="21" spans="1:21" s="377" customFormat="1" ht="63" customHeight="1">
      <c r="A21" s="385" t="s">
        <v>56</v>
      </c>
      <c r="B21" s="381"/>
      <c r="C21" s="382"/>
      <c r="D21" s="383"/>
      <c r="E21" s="383"/>
      <c r="F21" s="383"/>
      <c r="G21" s="381"/>
      <c r="H21" s="381"/>
      <c r="I21" s="384">
        <v>1790</v>
      </c>
      <c r="J21" s="381">
        <v>18.1</v>
      </c>
      <c r="K21" s="384">
        <v>90</v>
      </c>
      <c r="L21" s="381"/>
      <c r="M21" s="381"/>
      <c r="N21" s="384">
        <v>0</v>
      </c>
      <c r="O21" s="381">
        <v>0</v>
      </c>
      <c r="P21" s="381"/>
      <c r="Q21" s="381"/>
      <c r="R21" s="384">
        <v>0</v>
      </c>
      <c r="S21" s="381">
        <v>0</v>
      </c>
      <c r="T21" s="381"/>
      <c r="U21" s="381"/>
    </row>
    <row r="22" spans="1:21" ht="38.25" customHeight="1">
      <c r="A22" s="387" t="s">
        <v>477</v>
      </c>
      <c r="B22" s="39" t="s">
        <v>233</v>
      </c>
      <c r="C22" s="80" t="s">
        <v>231</v>
      </c>
      <c r="D22" s="82" t="s">
        <v>271</v>
      </c>
      <c r="E22" s="82" t="s">
        <v>253</v>
      </c>
      <c r="F22" s="82" t="s">
        <v>478</v>
      </c>
      <c r="G22" s="39">
        <f>H22+I22+J22</f>
        <v>200000</v>
      </c>
      <c r="H22" s="39"/>
      <c r="I22" s="130">
        <v>200000</v>
      </c>
      <c r="J22" s="39">
        <v>0</v>
      </c>
      <c r="K22" s="130">
        <v>80000</v>
      </c>
      <c r="L22" s="39">
        <f>M22+N22+O22</f>
        <v>54879.3</v>
      </c>
      <c r="M22" s="39"/>
      <c r="N22" s="130">
        <v>54879.3</v>
      </c>
      <c r="O22" s="39">
        <v>0</v>
      </c>
      <c r="P22" s="39">
        <f>Q22+R22+S22</f>
        <v>54879.3</v>
      </c>
      <c r="Q22" s="39"/>
      <c r="R22" s="130">
        <v>54879.3</v>
      </c>
      <c r="S22" s="39">
        <v>0</v>
      </c>
      <c r="T22" s="118">
        <f>SUM(N22/K22)*100</f>
        <v>68.599125</v>
      </c>
      <c r="U22" s="381">
        <f>P22/L22*100</f>
        <v>100</v>
      </c>
    </row>
    <row r="23" spans="1:21" ht="12.75">
      <c r="A23" s="95" t="s">
        <v>255</v>
      </c>
      <c r="B23" s="39" t="s">
        <v>233</v>
      </c>
      <c r="C23" s="80" t="s">
        <v>231</v>
      </c>
      <c r="D23" s="82" t="s">
        <v>253</v>
      </c>
      <c r="E23" s="82"/>
      <c r="F23" s="82"/>
      <c r="G23" s="39">
        <f>G24+G28</f>
        <v>57832.200000000004</v>
      </c>
      <c r="H23" s="39"/>
      <c r="I23" s="130">
        <f aca="true" t="shared" si="3" ref="I23:S23">I24+I28</f>
        <v>57832.200000000004</v>
      </c>
      <c r="J23" s="39">
        <f t="shared" si="3"/>
        <v>0</v>
      </c>
      <c r="K23" s="130">
        <f t="shared" si="3"/>
        <v>42059.4</v>
      </c>
      <c r="L23" s="39">
        <f t="shared" si="3"/>
        <v>39371.1</v>
      </c>
      <c r="M23" s="39"/>
      <c r="N23" s="130">
        <f t="shared" si="3"/>
        <v>39371.1</v>
      </c>
      <c r="O23" s="39">
        <f t="shared" si="3"/>
        <v>0</v>
      </c>
      <c r="P23" s="39">
        <f t="shared" si="3"/>
        <v>39371.1</v>
      </c>
      <c r="Q23" s="39"/>
      <c r="R23" s="130">
        <f>R24+R28</f>
        <v>39371.1</v>
      </c>
      <c r="S23" s="39">
        <f t="shared" si="3"/>
        <v>0</v>
      </c>
      <c r="T23" s="118"/>
      <c r="U23" s="118"/>
    </row>
    <row r="24" spans="1:21" ht="12.75">
      <c r="A24" s="95" t="s">
        <v>254</v>
      </c>
      <c r="B24" s="39" t="s">
        <v>233</v>
      </c>
      <c r="C24" s="80" t="s">
        <v>231</v>
      </c>
      <c r="D24" s="82" t="s">
        <v>253</v>
      </c>
      <c r="E24" s="82" t="s">
        <v>250</v>
      </c>
      <c r="F24" s="82"/>
      <c r="G24" s="39">
        <f aca="true" t="shared" si="4" ref="G24:G29">I24+J24</f>
        <v>51510.4</v>
      </c>
      <c r="H24" s="39"/>
      <c r="I24" s="130">
        <f aca="true" t="shared" si="5" ref="I24:K25">I25</f>
        <v>51510.4</v>
      </c>
      <c r="J24" s="39">
        <f t="shared" si="5"/>
        <v>0</v>
      </c>
      <c r="K24" s="130">
        <f t="shared" si="5"/>
        <v>42059.4</v>
      </c>
      <c r="L24" s="39">
        <f aca="true" t="shared" si="6" ref="L24:L29">N24+O24</f>
        <v>39371.1</v>
      </c>
      <c r="M24" s="39"/>
      <c r="N24" s="130">
        <f aca="true" t="shared" si="7" ref="N24:O26">N25</f>
        <v>39371.1</v>
      </c>
      <c r="O24" s="39">
        <f t="shared" si="7"/>
        <v>0</v>
      </c>
      <c r="P24" s="39">
        <f>R24+S24</f>
        <v>39371.1</v>
      </c>
      <c r="Q24" s="39"/>
      <c r="R24" s="130">
        <f aca="true" t="shared" si="8" ref="R24:S26">R25</f>
        <v>39371.1</v>
      </c>
      <c r="S24" s="39">
        <f t="shared" si="8"/>
        <v>0</v>
      </c>
      <c r="T24" s="118"/>
      <c r="U24" s="118"/>
    </row>
    <row r="25" spans="1:21" ht="12.75">
      <c r="A25" s="41" t="s">
        <v>257</v>
      </c>
      <c r="B25" s="39" t="s">
        <v>233</v>
      </c>
      <c r="C25" s="80" t="s">
        <v>231</v>
      </c>
      <c r="D25" s="82" t="s">
        <v>253</v>
      </c>
      <c r="E25" s="82" t="s">
        <v>250</v>
      </c>
      <c r="F25" s="82" t="s">
        <v>258</v>
      </c>
      <c r="G25" s="39">
        <f t="shared" si="4"/>
        <v>51510.4</v>
      </c>
      <c r="H25" s="39"/>
      <c r="I25" s="130">
        <f t="shared" si="5"/>
        <v>51510.4</v>
      </c>
      <c r="J25" s="39">
        <f t="shared" si="5"/>
        <v>0</v>
      </c>
      <c r="K25" s="130">
        <f t="shared" si="5"/>
        <v>42059.4</v>
      </c>
      <c r="L25" s="39">
        <f t="shared" si="6"/>
        <v>39371.1</v>
      </c>
      <c r="M25" s="39"/>
      <c r="N25" s="130">
        <f t="shared" si="7"/>
        <v>39371.1</v>
      </c>
      <c r="O25" s="39">
        <f t="shared" si="7"/>
        <v>0</v>
      </c>
      <c r="P25" s="39">
        <f>R25+S25</f>
        <v>39371.1</v>
      </c>
      <c r="Q25" s="39"/>
      <c r="R25" s="130">
        <f t="shared" si="8"/>
        <v>39371.1</v>
      </c>
      <c r="S25" s="39">
        <f t="shared" si="8"/>
        <v>0</v>
      </c>
      <c r="T25" s="118"/>
      <c r="U25" s="118"/>
    </row>
    <row r="26" spans="1:21" ht="25.5">
      <c r="A26" s="101" t="s">
        <v>140</v>
      </c>
      <c r="B26" s="103" t="s">
        <v>233</v>
      </c>
      <c r="C26" s="378" t="s">
        <v>231</v>
      </c>
      <c r="D26" s="102" t="s">
        <v>253</v>
      </c>
      <c r="E26" s="102" t="s">
        <v>250</v>
      </c>
      <c r="F26" s="102" t="s">
        <v>258</v>
      </c>
      <c r="G26" s="103">
        <f>H26+I26+J26</f>
        <v>51510.4</v>
      </c>
      <c r="H26" s="112"/>
      <c r="I26" s="247">
        <f>I27</f>
        <v>51510.4</v>
      </c>
      <c r="J26" s="112">
        <f>J27</f>
        <v>0</v>
      </c>
      <c r="K26" s="247">
        <f>K27</f>
        <v>42059.4</v>
      </c>
      <c r="L26" s="112">
        <f>M26+N26+O26</f>
        <v>39371.1</v>
      </c>
      <c r="M26" s="112"/>
      <c r="N26" s="247">
        <f t="shared" si="7"/>
        <v>39371.1</v>
      </c>
      <c r="O26" s="112">
        <f t="shared" si="7"/>
        <v>0</v>
      </c>
      <c r="P26" s="112">
        <f>Q26+R26+S26</f>
        <v>39371.1</v>
      </c>
      <c r="Q26" s="112"/>
      <c r="R26" s="247">
        <f t="shared" si="8"/>
        <v>39371.1</v>
      </c>
      <c r="S26" s="112">
        <f t="shared" si="8"/>
        <v>0</v>
      </c>
      <c r="T26" s="118">
        <f>SUM(N26/K26)*100</f>
        <v>93.60832536840753</v>
      </c>
      <c r="U26" s="381">
        <f>P26/L26*100</f>
        <v>100</v>
      </c>
    </row>
    <row r="27" spans="1:21" s="23" customFormat="1" ht="21" customHeight="1">
      <c r="A27" s="386" t="s">
        <v>479</v>
      </c>
      <c r="B27" s="381"/>
      <c r="C27" s="382"/>
      <c r="D27" s="383"/>
      <c r="E27" s="383"/>
      <c r="F27" s="383"/>
      <c r="G27" s="381"/>
      <c r="H27" s="381"/>
      <c r="I27" s="384">
        <f>42059.4+9451</f>
        <v>51510.4</v>
      </c>
      <c r="J27" s="381">
        <v>0</v>
      </c>
      <c r="K27" s="384">
        <v>42059.4</v>
      </c>
      <c r="L27" s="381"/>
      <c r="M27" s="381"/>
      <c r="N27" s="384">
        <v>39371.1</v>
      </c>
      <c r="O27" s="381">
        <v>0</v>
      </c>
      <c r="P27" s="381"/>
      <c r="Q27" s="381"/>
      <c r="R27" s="384">
        <v>39371.1</v>
      </c>
      <c r="S27" s="381">
        <v>0</v>
      </c>
      <c r="T27" s="381"/>
      <c r="U27" s="381"/>
    </row>
    <row r="28" spans="1:21" ht="12.75">
      <c r="A28" s="41" t="s">
        <v>283</v>
      </c>
      <c r="B28" s="39" t="s">
        <v>233</v>
      </c>
      <c r="C28" s="80" t="s">
        <v>231</v>
      </c>
      <c r="D28" s="82" t="s">
        <v>253</v>
      </c>
      <c r="E28" s="102" t="s">
        <v>256</v>
      </c>
      <c r="F28" s="82"/>
      <c r="G28" s="39">
        <f t="shared" si="4"/>
        <v>6321.8</v>
      </c>
      <c r="H28" s="39"/>
      <c r="I28" s="130">
        <f aca="true" t="shared" si="9" ref="I28:K29">I29</f>
        <v>6321.8</v>
      </c>
      <c r="J28" s="39">
        <f t="shared" si="9"/>
        <v>0</v>
      </c>
      <c r="K28" s="130">
        <f t="shared" si="9"/>
        <v>0</v>
      </c>
      <c r="L28" s="39">
        <f t="shared" si="6"/>
        <v>0</v>
      </c>
      <c r="M28" s="39"/>
      <c r="N28" s="130">
        <f>N29</f>
        <v>0</v>
      </c>
      <c r="O28" s="39">
        <f>O29</f>
        <v>0</v>
      </c>
      <c r="P28" s="39">
        <f>R28+S28</f>
        <v>0</v>
      </c>
      <c r="Q28" s="39"/>
      <c r="R28" s="130">
        <f>R29</f>
        <v>0</v>
      </c>
      <c r="S28" s="39">
        <f>S29</f>
        <v>0</v>
      </c>
      <c r="T28" s="118"/>
      <c r="U28" s="118"/>
    </row>
    <row r="29" spans="1:21" ht="12.75">
      <c r="A29" s="41" t="s">
        <v>257</v>
      </c>
      <c r="B29" s="39" t="s">
        <v>233</v>
      </c>
      <c r="C29" s="80" t="s">
        <v>231</v>
      </c>
      <c r="D29" s="82" t="s">
        <v>253</v>
      </c>
      <c r="E29" s="102" t="s">
        <v>256</v>
      </c>
      <c r="F29" s="82" t="s">
        <v>258</v>
      </c>
      <c r="G29" s="39">
        <f t="shared" si="4"/>
        <v>6321.8</v>
      </c>
      <c r="H29" s="39"/>
      <c r="I29" s="130">
        <f t="shared" si="9"/>
        <v>6321.8</v>
      </c>
      <c r="J29" s="39">
        <f t="shared" si="9"/>
        <v>0</v>
      </c>
      <c r="K29" s="130">
        <f t="shared" si="9"/>
        <v>0</v>
      </c>
      <c r="L29" s="39">
        <f t="shared" si="6"/>
        <v>0</v>
      </c>
      <c r="M29" s="39"/>
      <c r="N29" s="130">
        <f>N30</f>
        <v>0</v>
      </c>
      <c r="O29" s="39">
        <f>O30</f>
        <v>0</v>
      </c>
      <c r="P29" s="39">
        <f>R29+S29</f>
        <v>0</v>
      </c>
      <c r="Q29" s="39"/>
      <c r="R29" s="130">
        <f>R30</f>
        <v>0</v>
      </c>
      <c r="S29" s="39">
        <f>S30</f>
        <v>0</v>
      </c>
      <c r="T29" s="118"/>
      <c r="U29" s="118"/>
    </row>
    <row r="30" spans="1:21" ht="26.25" customHeight="1">
      <c r="A30" s="101" t="s">
        <v>140</v>
      </c>
      <c r="B30" s="103" t="s">
        <v>233</v>
      </c>
      <c r="C30" s="378" t="s">
        <v>231</v>
      </c>
      <c r="D30" s="102" t="s">
        <v>253</v>
      </c>
      <c r="E30" s="102" t="s">
        <v>256</v>
      </c>
      <c r="F30" s="102" t="s">
        <v>258</v>
      </c>
      <c r="G30" s="103">
        <f>H30+I30+J30</f>
        <v>6321.8</v>
      </c>
      <c r="H30" s="103"/>
      <c r="I30" s="247">
        <f>I31+I32+I33</f>
        <v>6321.8</v>
      </c>
      <c r="J30" s="112">
        <f>J31+J32+J33</f>
        <v>0</v>
      </c>
      <c r="K30" s="247">
        <f>K31+K32+K33</f>
        <v>0</v>
      </c>
      <c r="L30" s="103">
        <f>M30+N30+O30</f>
        <v>0</v>
      </c>
      <c r="M30" s="112"/>
      <c r="N30" s="247">
        <f>N31+N32+N33</f>
        <v>0</v>
      </c>
      <c r="O30" s="112">
        <f>O31+O32+O33</f>
        <v>0</v>
      </c>
      <c r="P30" s="103">
        <f>Q30+R30+S30</f>
        <v>0</v>
      </c>
      <c r="Q30" s="112"/>
      <c r="R30" s="247">
        <f>R31+R32+R33</f>
        <v>0</v>
      </c>
      <c r="S30" s="112">
        <f>S31+S32+S33</f>
        <v>0</v>
      </c>
      <c r="T30" s="381"/>
      <c r="U30" s="118"/>
    </row>
    <row r="31" spans="1:21" s="377" customFormat="1" ht="23.25" customHeight="1">
      <c r="A31" s="380" t="s">
        <v>480</v>
      </c>
      <c r="B31" s="381"/>
      <c r="C31" s="382"/>
      <c r="D31" s="383"/>
      <c r="E31" s="383"/>
      <c r="F31" s="383"/>
      <c r="G31" s="381"/>
      <c r="H31" s="381"/>
      <c r="I31" s="384">
        <v>941.9</v>
      </c>
      <c r="J31" s="381">
        <v>0</v>
      </c>
      <c r="K31" s="384">
        <v>0</v>
      </c>
      <c r="L31" s="381"/>
      <c r="M31" s="381"/>
      <c r="N31" s="384">
        <v>0</v>
      </c>
      <c r="O31" s="381">
        <v>0</v>
      </c>
      <c r="P31" s="381"/>
      <c r="Q31" s="381"/>
      <c r="R31" s="384">
        <v>0</v>
      </c>
      <c r="S31" s="381">
        <v>0</v>
      </c>
      <c r="T31" s="381"/>
      <c r="U31" s="381"/>
    </row>
    <row r="32" spans="1:21" s="377" customFormat="1" ht="23.25" customHeight="1">
      <c r="A32" s="380" t="s">
        <v>89</v>
      </c>
      <c r="B32" s="381"/>
      <c r="C32" s="382"/>
      <c r="D32" s="383"/>
      <c r="E32" s="383"/>
      <c r="F32" s="383"/>
      <c r="G32" s="381"/>
      <c r="H32" s="381"/>
      <c r="I32" s="384">
        <v>941.9</v>
      </c>
      <c r="J32" s="381">
        <v>0</v>
      </c>
      <c r="K32" s="384">
        <v>0</v>
      </c>
      <c r="L32" s="381"/>
      <c r="M32" s="381"/>
      <c r="N32" s="384">
        <v>0</v>
      </c>
      <c r="O32" s="381">
        <v>0</v>
      </c>
      <c r="P32" s="381"/>
      <c r="Q32" s="381"/>
      <c r="R32" s="384">
        <v>0</v>
      </c>
      <c r="S32" s="381">
        <v>0</v>
      </c>
      <c r="T32" s="381"/>
      <c r="U32" s="381"/>
    </row>
    <row r="33" spans="1:21" s="377" customFormat="1" ht="59.25" customHeight="1">
      <c r="A33" s="380" t="s">
        <v>90</v>
      </c>
      <c r="B33" s="381"/>
      <c r="C33" s="382"/>
      <c r="D33" s="383"/>
      <c r="E33" s="383"/>
      <c r="F33" s="383"/>
      <c r="G33" s="381"/>
      <c r="H33" s="381"/>
      <c r="I33" s="384">
        <v>4438</v>
      </c>
      <c r="J33" s="381">
        <v>0</v>
      </c>
      <c r="K33" s="384">
        <v>0</v>
      </c>
      <c r="L33" s="381"/>
      <c r="M33" s="381"/>
      <c r="N33" s="384">
        <v>0</v>
      </c>
      <c r="O33" s="381">
        <v>0</v>
      </c>
      <c r="P33" s="381"/>
      <c r="Q33" s="381"/>
      <c r="R33" s="384">
        <v>0</v>
      </c>
      <c r="S33" s="381">
        <v>0</v>
      </c>
      <c r="T33" s="381"/>
      <c r="U33" s="381"/>
    </row>
    <row r="34" spans="1:21" ht="12.75">
      <c r="A34" s="41" t="s">
        <v>234</v>
      </c>
      <c r="B34" s="39" t="s">
        <v>233</v>
      </c>
      <c r="C34" s="80" t="s">
        <v>231</v>
      </c>
      <c r="D34" s="82" t="s">
        <v>235</v>
      </c>
      <c r="E34" s="82"/>
      <c r="F34" s="82"/>
      <c r="G34" s="39">
        <f aca="true" t="shared" si="10" ref="G34:H36">G35</f>
        <v>12675.996</v>
      </c>
      <c r="H34" s="39">
        <f t="shared" si="10"/>
        <v>314.996</v>
      </c>
      <c r="I34" s="130">
        <f aca="true" t="shared" si="11" ref="I34:K35">I35</f>
        <v>12361</v>
      </c>
      <c r="J34" s="39">
        <f t="shared" si="11"/>
        <v>0</v>
      </c>
      <c r="K34" s="130">
        <f t="shared" si="11"/>
        <v>3090.3</v>
      </c>
      <c r="L34" s="39">
        <f>L35</f>
        <v>0</v>
      </c>
      <c r="M34" s="39">
        <f aca="true" t="shared" si="12" ref="M34:O35">M35</f>
        <v>0</v>
      </c>
      <c r="N34" s="130">
        <f t="shared" si="12"/>
        <v>0</v>
      </c>
      <c r="O34" s="39">
        <f t="shared" si="12"/>
        <v>0</v>
      </c>
      <c r="P34" s="39">
        <f>Q34+R34+S34</f>
        <v>0</v>
      </c>
      <c r="Q34" s="39">
        <f aca="true" t="shared" si="13" ref="Q34:S35">Q35</f>
        <v>0</v>
      </c>
      <c r="R34" s="130">
        <f t="shared" si="13"/>
        <v>0</v>
      </c>
      <c r="S34" s="39">
        <f t="shared" si="13"/>
        <v>0</v>
      </c>
      <c r="T34" s="118">
        <f aca="true" t="shared" si="14" ref="T34:T41">SUM(N34/K34)*100</f>
        <v>0</v>
      </c>
      <c r="U34" s="118">
        <v>0</v>
      </c>
    </row>
    <row r="35" spans="1:21" ht="12.75">
      <c r="A35" s="41" t="s">
        <v>286</v>
      </c>
      <c r="B35" s="39" t="s">
        <v>233</v>
      </c>
      <c r="C35" s="80" t="s">
        <v>231</v>
      </c>
      <c r="D35" s="82" t="s">
        <v>235</v>
      </c>
      <c r="E35" s="82" t="s">
        <v>237</v>
      </c>
      <c r="F35" s="82"/>
      <c r="G35" s="39">
        <f t="shared" si="10"/>
        <v>12675.996</v>
      </c>
      <c r="H35" s="39">
        <f t="shared" si="10"/>
        <v>314.996</v>
      </c>
      <c r="I35" s="130">
        <f t="shared" si="11"/>
        <v>12361</v>
      </c>
      <c r="J35" s="39">
        <f t="shared" si="11"/>
        <v>0</v>
      </c>
      <c r="K35" s="130">
        <f t="shared" si="11"/>
        <v>3090.3</v>
      </c>
      <c r="L35" s="39">
        <f>L36</f>
        <v>0</v>
      </c>
      <c r="M35" s="39">
        <f t="shared" si="12"/>
        <v>0</v>
      </c>
      <c r="N35" s="130">
        <f t="shared" si="12"/>
        <v>0</v>
      </c>
      <c r="O35" s="39">
        <f t="shared" si="12"/>
        <v>0</v>
      </c>
      <c r="P35" s="39">
        <f>P36</f>
        <v>0</v>
      </c>
      <c r="Q35" s="39">
        <f t="shared" si="13"/>
        <v>0</v>
      </c>
      <c r="R35" s="130">
        <f t="shared" si="13"/>
        <v>0</v>
      </c>
      <c r="S35" s="39">
        <f t="shared" si="13"/>
        <v>0</v>
      </c>
      <c r="T35" s="118">
        <f t="shared" si="14"/>
        <v>0</v>
      </c>
      <c r="U35" s="118"/>
    </row>
    <row r="36" spans="1:21" ht="12.75">
      <c r="A36" s="41" t="s">
        <v>238</v>
      </c>
      <c r="B36" s="39" t="s">
        <v>233</v>
      </c>
      <c r="C36" s="80" t="s">
        <v>231</v>
      </c>
      <c r="D36" s="82" t="s">
        <v>235</v>
      </c>
      <c r="E36" s="82" t="s">
        <v>237</v>
      </c>
      <c r="F36" s="82" t="s">
        <v>239</v>
      </c>
      <c r="G36" s="39">
        <f t="shared" si="10"/>
        <v>12675.996</v>
      </c>
      <c r="H36" s="39">
        <f t="shared" si="10"/>
        <v>314.996</v>
      </c>
      <c r="I36" s="130">
        <f>I37</f>
        <v>12361</v>
      </c>
      <c r="J36" s="39">
        <f aca="true" t="shared" si="15" ref="J36:S36">J37</f>
        <v>0</v>
      </c>
      <c r="K36" s="130">
        <f t="shared" si="15"/>
        <v>3090.3</v>
      </c>
      <c r="L36" s="39">
        <f>L37</f>
        <v>0</v>
      </c>
      <c r="M36" s="39">
        <f>M37</f>
        <v>0</v>
      </c>
      <c r="N36" s="130">
        <f t="shared" si="15"/>
        <v>0</v>
      </c>
      <c r="O36" s="39">
        <f t="shared" si="15"/>
        <v>0</v>
      </c>
      <c r="P36" s="39">
        <f t="shared" si="15"/>
        <v>0</v>
      </c>
      <c r="Q36" s="39">
        <f>Q37</f>
        <v>0</v>
      </c>
      <c r="R36" s="130">
        <f t="shared" si="15"/>
        <v>0</v>
      </c>
      <c r="S36" s="39">
        <f t="shared" si="15"/>
        <v>0</v>
      </c>
      <c r="T36" s="118">
        <f t="shared" si="14"/>
        <v>0</v>
      </c>
      <c r="U36" s="118"/>
    </row>
    <row r="37" spans="1:21" ht="82.5" customHeight="1">
      <c r="A37" s="388" t="s">
        <v>19</v>
      </c>
      <c r="B37" s="131"/>
      <c r="C37" s="389"/>
      <c r="D37" s="390"/>
      <c r="E37" s="390"/>
      <c r="F37" s="390"/>
      <c r="G37" s="188">
        <f>H37+I37+J37</f>
        <v>12675.996</v>
      </c>
      <c r="H37" s="188">
        <v>314.996</v>
      </c>
      <c r="I37" s="188">
        <v>12361</v>
      </c>
      <c r="J37" s="188">
        <v>0</v>
      </c>
      <c r="K37" s="188">
        <v>3090.3</v>
      </c>
      <c r="L37" s="188">
        <f>M37+N37+O37</f>
        <v>0</v>
      </c>
      <c r="M37" s="188">
        <v>0</v>
      </c>
      <c r="N37" s="188">
        <v>0</v>
      </c>
      <c r="O37" s="188">
        <v>0</v>
      </c>
      <c r="P37" s="188">
        <f>Q37+R37+S37</f>
        <v>0</v>
      </c>
      <c r="Q37" s="188">
        <v>0</v>
      </c>
      <c r="R37" s="188">
        <v>0</v>
      </c>
      <c r="S37" s="188"/>
      <c r="T37" s="133">
        <f t="shared" si="14"/>
        <v>0</v>
      </c>
      <c r="U37" s="133">
        <v>0</v>
      </c>
    </row>
    <row r="38" spans="1:21" ht="51" customHeight="1">
      <c r="A38" s="41" t="s">
        <v>243</v>
      </c>
      <c r="B38" s="60" t="s">
        <v>233</v>
      </c>
      <c r="C38" s="80" t="s">
        <v>231</v>
      </c>
      <c r="D38" s="86">
        <v>14</v>
      </c>
      <c r="E38" s="82"/>
      <c r="F38" s="82"/>
      <c r="G38" s="39">
        <f aca="true" t="shared" si="16" ref="G38:H40">G39</f>
        <v>505049.19999999995</v>
      </c>
      <c r="H38" s="39">
        <f t="shared" si="16"/>
        <v>0</v>
      </c>
      <c r="I38" s="130">
        <f aca="true" t="shared" si="17" ref="I38:J40">I39</f>
        <v>499998.69999999995</v>
      </c>
      <c r="J38" s="39">
        <f t="shared" si="17"/>
        <v>5050.499999999999</v>
      </c>
      <c r="K38" s="130">
        <f aca="true" t="shared" si="18" ref="K38:O40">K39</f>
        <v>24620</v>
      </c>
      <c r="L38" s="39">
        <f t="shared" si="18"/>
        <v>0</v>
      </c>
      <c r="M38" s="39">
        <f>M39</f>
        <v>0</v>
      </c>
      <c r="N38" s="130">
        <f t="shared" si="18"/>
        <v>0</v>
      </c>
      <c r="O38" s="39">
        <f t="shared" si="18"/>
        <v>0</v>
      </c>
      <c r="P38" s="39">
        <f aca="true" t="shared" si="19" ref="P38:S40">P39</f>
        <v>0</v>
      </c>
      <c r="Q38" s="39">
        <f>Q39</f>
        <v>0</v>
      </c>
      <c r="R38" s="130">
        <f t="shared" si="19"/>
        <v>0</v>
      </c>
      <c r="S38" s="39">
        <f t="shared" si="19"/>
        <v>0</v>
      </c>
      <c r="T38" s="118">
        <f t="shared" si="14"/>
        <v>0</v>
      </c>
      <c r="U38" s="118">
        <v>0</v>
      </c>
    </row>
    <row r="39" spans="1:21" ht="24.75" customHeight="1">
      <c r="A39" s="41" t="s">
        <v>244</v>
      </c>
      <c r="B39" s="60" t="s">
        <v>233</v>
      </c>
      <c r="C39" s="80" t="s">
        <v>231</v>
      </c>
      <c r="D39" s="86">
        <v>14</v>
      </c>
      <c r="E39" s="82" t="s">
        <v>237</v>
      </c>
      <c r="F39" s="82"/>
      <c r="G39" s="39">
        <f t="shared" si="16"/>
        <v>505049.19999999995</v>
      </c>
      <c r="H39" s="39">
        <f t="shared" si="16"/>
        <v>0</v>
      </c>
      <c r="I39" s="130">
        <f t="shared" si="17"/>
        <v>499998.69999999995</v>
      </c>
      <c r="J39" s="39">
        <f t="shared" si="17"/>
        <v>5050.499999999999</v>
      </c>
      <c r="K39" s="130">
        <f t="shared" si="18"/>
        <v>24620</v>
      </c>
      <c r="L39" s="39">
        <f t="shared" si="18"/>
        <v>0</v>
      </c>
      <c r="M39" s="39">
        <f>M40</f>
        <v>0</v>
      </c>
      <c r="N39" s="130">
        <f t="shared" si="18"/>
        <v>0</v>
      </c>
      <c r="O39" s="39">
        <f t="shared" si="18"/>
        <v>0</v>
      </c>
      <c r="P39" s="39">
        <f t="shared" si="19"/>
        <v>0</v>
      </c>
      <c r="Q39" s="39">
        <f>Q40</f>
        <v>0</v>
      </c>
      <c r="R39" s="130">
        <f t="shared" si="19"/>
        <v>0</v>
      </c>
      <c r="S39" s="39">
        <f t="shared" si="19"/>
        <v>0</v>
      </c>
      <c r="T39" s="118">
        <f t="shared" si="14"/>
        <v>0</v>
      </c>
      <c r="U39" s="118">
        <v>0</v>
      </c>
    </row>
    <row r="40" spans="1:21" ht="13.5" customHeight="1">
      <c r="A40" s="42" t="s">
        <v>240</v>
      </c>
      <c r="B40" s="60" t="s">
        <v>233</v>
      </c>
      <c r="C40" s="80" t="s">
        <v>231</v>
      </c>
      <c r="D40" s="86">
        <v>14</v>
      </c>
      <c r="E40" s="82" t="s">
        <v>237</v>
      </c>
      <c r="F40" s="82" t="s">
        <v>241</v>
      </c>
      <c r="G40" s="40">
        <f t="shared" si="16"/>
        <v>505049.19999999995</v>
      </c>
      <c r="H40" s="40">
        <f t="shared" si="16"/>
        <v>0</v>
      </c>
      <c r="I40" s="132">
        <f t="shared" si="17"/>
        <v>499998.69999999995</v>
      </c>
      <c r="J40" s="40">
        <f t="shared" si="17"/>
        <v>5050.499999999999</v>
      </c>
      <c r="K40" s="132">
        <f t="shared" si="18"/>
        <v>24620</v>
      </c>
      <c r="L40" s="40">
        <f t="shared" si="18"/>
        <v>0</v>
      </c>
      <c r="M40" s="40">
        <f>M41</f>
        <v>0</v>
      </c>
      <c r="N40" s="132">
        <f t="shared" si="18"/>
        <v>0</v>
      </c>
      <c r="O40" s="40">
        <f>O41</f>
        <v>0</v>
      </c>
      <c r="P40" s="40">
        <f t="shared" si="19"/>
        <v>0</v>
      </c>
      <c r="Q40" s="40">
        <f>Q41</f>
        <v>0</v>
      </c>
      <c r="R40" s="132">
        <f t="shared" si="19"/>
        <v>0</v>
      </c>
      <c r="S40" s="40">
        <f>S41</f>
        <v>0</v>
      </c>
      <c r="T40" s="118">
        <f t="shared" si="14"/>
        <v>0</v>
      </c>
      <c r="U40" s="118">
        <v>0</v>
      </c>
    </row>
    <row r="41" spans="1:21" s="22" customFormat="1" ht="25.5">
      <c r="A41" s="101" t="s">
        <v>242</v>
      </c>
      <c r="B41" s="398" t="s">
        <v>233</v>
      </c>
      <c r="C41" s="378" t="s">
        <v>231</v>
      </c>
      <c r="D41" s="399">
        <v>14</v>
      </c>
      <c r="E41" s="102" t="s">
        <v>237</v>
      </c>
      <c r="F41" s="102" t="s">
        <v>241</v>
      </c>
      <c r="G41" s="103">
        <f>SUM(I41+H41+J41)</f>
        <v>505049.19999999995</v>
      </c>
      <c r="H41" s="103">
        <f>H72</f>
        <v>0</v>
      </c>
      <c r="I41" s="131">
        <f>I42+I43+I45+I47+I49+I50+I52+I54+I56+I57+I58+I59+I60+I61+I62+I63+I64+I65+I66+I67+I68+I69+I70+I71+I72+I73+I74+I75+I76+I77+I78</f>
        <v>499998.69999999995</v>
      </c>
      <c r="J41" s="113">
        <f>J42+J43+J45+J47+J49+J50+J52+J54+J56+J57+J58+J59+J60+J61+J62+J63+J64+J65+J66+J67+J68+J69+J70+J71+J72+J73+J74+J75+J76+J77+J78</f>
        <v>5050.499999999999</v>
      </c>
      <c r="K41" s="131">
        <f>K42+K43+K45+K47+K49+K50+K52+K54+K56+K57+K58+K59+K60+K61+K62+K63+K64+K65+K66+K67+K68+K69+K70+K71+K72+K73+K74+K75+K76+K77+K78</f>
        <v>24620</v>
      </c>
      <c r="L41" s="103">
        <f>SUM(N41+M41+O41)</f>
        <v>0</v>
      </c>
      <c r="M41" s="103">
        <f>M72</f>
        <v>0</v>
      </c>
      <c r="N41" s="131">
        <f>N42+N43+N45+N47+N49+N50+N52+N54+N56+N57+N58+N59+N60+N61+N62+N63+N64+N65+N66+N67+N68+N69+N70+N71+N72+N73+N74+N75+N76+N77+N78</f>
        <v>0</v>
      </c>
      <c r="O41" s="113">
        <f>O42+O43+O45+O47+O49+O50+O52+O54+O56+O57+O58+O59+O60+O61+O62+O63+O64+O65+O66+O67+O68+O69+O70+O71+O72+O73+O74+O75+O76+O77+O78</f>
        <v>0</v>
      </c>
      <c r="P41" s="103">
        <f>SUM(R41+Q41+S41)</f>
        <v>0</v>
      </c>
      <c r="Q41" s="103">
        <f>Q72</f>
        <v>0</v>
      </c>
      <c r="R41" s="131">
        <f>R42+R43+R45+R47+R49+R50+R52+R54+R56+R57+R58+R59+R60+R61+R62+R63+R64+R65+R66+R67+R68+R69+R70+R71+R72+R73+R74+R75+R76+R77+R78</f>
        <v>0</v>
      </c>
      <c r="S41" s="113">
        <f>S42+S43+S45+S47+S49+S50+S52+S54+S56+S57+S58+S59+S60+S61+S62+S63+S64+S65+S66+S67+S68+S69+S70+S71+S72+S73+S74+S75+S76+S77+S78</f>
        <v>0</v>
      </c>
      <c r="T41" s="121">
        <f t="shared" si="14"/>
        <v>0</v>
      </c>
      <c r="U41" s="121">
        <v>0</v>
      </c>
    </row>
    <row r="42" spans="1:21" s="391" customFormat="1" ht="24" customHeight="1">
      <c r="A42" s="204" t="s">
        <v>37</v>
      </c>
      <c r="B42" s="400"/>
      <c r="C42" s="401"/>
      <c r="D42" s="402"/>
      <c r="E42" s="207"/>
      <c r="F42" s="207"/>
      <c r="G42" s="111"/>
      <c r="H42" s="111"/>
      <c r="I42" s="134">
        <v>49500</v>
      </c>
      <c r="J42" s="111">
        <v>500</v>
      </c>
      <c r="K42" s="134">
        <v>0</v>
      </c>
      <c r="L42" s="111"/>
      <c r="M42" s="111"/>
      <c r="N42" s="134">
        <v>0</v>
      </c>
      <c r="O42" s="111">
        <v>0</v>
      </c>
      <c r="P42" s="111"/>
      <c r="Q42" s="111"/>
      <c r="R42" s="134">
        <v>0</v>
      </c>
      <c r="S42" s="111">
        <v>0</v>
      </c>
      <c r="T42" s="121"/>
      <c r="U42" s="121"/>
    </row>
    <row r="43" spans="1:21" s="391" customFormat="1" ht="24.75" customHeight="1">
      <c r="A43" s="651" t="s">
        <v>38</v>
      </c>
      <c r="B43" s="400"/>
      <c r="C43" s="401"/>
      <c r="D43" s="402"/>
      <c r="E43" s="207"/>
      <c r="F43" s="207"/>
      <c r="G43" s="111"/>
      <c r="H43" s="111"/>
      <c r="I43" s="134">
        <v>42748.1</v>
      </c>
      <c r="J43" s="111">
        <v>431.8</v>
      </c>
      <c r="K43" s="134">
        <v>0</v>
      </c>
      <c r="L43" s="111"/>
      <c r="M43" s="111"/>
      <c r="N43" s="134">
        <v>0</v>
      </c>
      <c r="O43" s="111">
        <v>0</v>
      </c>
      <c r="P43" s="111"/>
      <c r="Q43" s="111"/>
      <c r="R43" s="134">
        <v>0</v>
      </c>
      <c r="S43" s="111">
        <v>0</v>
      </c>
      <c r="T43" s="121"/>
      <c r="U43" s="121"/>
    </row>
    <row r="44" spans="1:21" s="391" customFormat="1" ht="13.5" customHeight="1">
      <c r="A44" s="651"/>
      <c r="B44" s="360"/>
      <c r="C44" s="361"/>
      <c r="D44" s="362"/>
      <c r="E44" s="363"/>
      <c r="F44" s="363"/>
      <c r="G44" s="339"/>
      <c r="H44" s="339"/>
      <c r="I44" s="338"/>
      <c r="J44" s="339"/>
      <c r="K44" s="338"/>
      <c r="L44" s="339"/>
      <c r="M44" s="339"/>
      <c r="N44" s="338">
        <v>0</v>
      </c>
      <c r="O44" s="339">
        <v>0</v>
      </c>
      <c r="P44" s="339"/>
      <c r="Q44" s="339"/>
      <c r="R44" s="338">
        <v>4206.9</v>
      </c>
      <c r="S44" s="339">
        <v>42.5</v>
      </c>
      <c r="T44" s="356"/>
      <c r="U44" s="356"/>
    </row>
    <row r="45" spans="1:21" s="391" customFormat="1" ht="24" customHeight="1">
      <c r="A45" s="651" t="s">
        <v>39</v>
      </c>
      <c r="B45" s="400"/>
      <c r="C45" s="401"/>
      <c r="D45" s="402"/>
      <c r="E45" s="207"/>
      <c r="F45" s="207"/>
      <c r="G45" s="111"/>
      <c r="H45" s="111"/>
      <c r="I45" s="134">
        <v>26484.3</v>
      </c>
      <c r="J45" s="111">
        <v>267.5</v>
      </c>
      <c r="K45" s="134">
        <v>0</v>
      </c>
      <c r="L45" s="111"/>
      <c r="M45" s="111"/>
      <c r="N45" s="134">
        <v>0</v>
      </c>
      <c r="O45" s="111">
        <v>0</v>
      </c>
      <c r="P45" s="111"/>
      <c r="Q45" s="111"/>
      <c r="R45" s="134">
        <v>0</v>
      </c>
      <c r="S45" s="111">
        <v>0</v>
      </c>
      <c r="T45" s="121"/>
      <c r="U45" s="121"/>
    </row>
    <row r="46" spans="1:21" s="391" customFormat="1" ht="12">
      <c r="A46" s="651"/>
      <c r="B46" s="360"/>
      <c r="C46" s="361"/>
      <c r="D46" s="362"/>
      <c r="E46" s="363"/>
      <c r="F46" s="363"/>
      <c r="G46" s="339"/>
      <c r="H46" s="339"/>
      <c r="I46" s="338"/>
      <c r="J46" s="339"/>
      <c r="K46" s="338"/>
      <c r="L46" s="339"/>
      <c r="M46" s="339"/>
      <c r="N46" s="338">
        <v>0</v>
      </c>
      <c r="O46" s="339">
        <v>0</v>
      </c>
      <c r="P46" s="339"/>
      <c r="Q46" s="339"/>
      <c r="R46" s="338">
        <v>0</v>
      </c>
      <c r="S46" s="339">
        <v>0</v>
      </c>
      <c r="T46" s="356"/>
      <c r="U46" s="356"/>
    </row>
    <row r="47" spans="1:21" s="391" customFormat="1" ht="24" customHeight="1">
      <c r="A47" s="651" t="s">
        <v>40</v>
      </c>
      <c r="B47" s="400"/>
      <c r="C47" s="401"/>
      <c r="D47" s="402"/>
      <c r="E47" s="207"/>
      <c r="F47" s="207"/>
      <c r="G47" s="111"/>
      <c r="H47" s="111"/>
      <c r="I47" s="134">
        <f>52272+32728</f>
        <v>85000</v>
      </c>
      <c r="J47" s="111">
        <v>858.6</v>
      </c>
      <c r="K47" s="134">
        <v>0</v>
      </c>
      <c r="L47" s="111"/>
      <c r="M47" s="111"/>
      <c r="N47" s="134">
        <v>0</v>
      </c>
      <c r="O47" s="111">
        <v>0</v>
      </c>
      <c r="P47" s="111"/>
      <c r="Q47" s="111"/>
      <c r="R47" s="134">
        <v>0</v>
      </c>
      <c r="S47" s="111">
        <v>0</v>
      </c>
      <c r="T47" s="121"/>
      <c r="U47" s="121"/>
    </row>
    <row r="48" spans="1:21" s="391" customFormat="1" ht="12">
      <c r="A48" s="651"/>
      <c r="B48" s="360"/>
      <c r="C48" s="361"/>
      <c r="D48" s="362"/>
      <c r="E48" s="363"/>
      <c r="F48" s="363"/>
      <c r="G48" s="339"/>
      <c r="H48" s="339"/>
      <c r="I48" s="338"/>
      <c r="J48" s="339"/>
      <c r="K48" s="338"/>
      <c r="L48" s="339"/>
      <c r="M48" s="339"/>
      <c r="N48" s="338">
        <v>0</v>
      </c>
      <c r="O48" s="339">
        <v>0</v>
      </c>
      <c r="P48" s="339"/>
      <c r="Q48" s="339"/>
      <c r="R48" s="338">
        <v>0</v>
      </c>
      <c r="S48" s="339">
        <v>0</v>
      </c>
      <c r="T48" s="356"/>
      <c r="U48" s="356"/>
    </row>
    <row r="49" spans="1:21" s="391" customFormat="1" ht="48">
      <c r="A49" s="204" t="s">
        <v>41</v>
      </c>
      <c r="B49" s="400"/>
      <c r="C49" s="401"/>
      <c r="D49" s="402"/>
      <c r="E49" s="207"/>
      <c r="F49" s="207"/>
      <c r="G49" s="111"/>
      <c r="H49" s="111"/>
      <c r="I49" s="134">
        <v>28517.9</v>
      </c>
      <c r="J49" s="111">
        <v>288.1</v>
      </c>
      <c r="K49" s="134">
        <v>7500</v>
      </c>
      <c r="L49" s="111"/>
      <c r="M49" s="111"/>
      <c r="N49" s="134">
        <v>0</v>
      </c>
      <c r="O49" s="111">
        <v>0</v>
      </c>
      <c r="P49" s="111"/>
      <c r="Q49" s="111"/>
      <c r="R49" s="134">
        <v>0</v>
      </c>
      <c r="S49" s="111">
        <v>0</v>
      </c>
      <c r="T49" s="121"/>
      <c r="U49" s="121"/>
    </row>
    <row r="50" spans="1:21" s="391" customFormat="1" ht="24" customHeight="1">
      <c r="A50" s="651" t="s">
        <v>42</v>
      </c>
      <c r="B50" s="400"/>
      <c r="C50" s="401"/>
      <c r="D50" s="402"/>
      <c r="E50" s="207"/>
      <c r="F50" s="207"/>
      <c r="G50" s="111"/>
      <c r="H50" s="111"/>
      <c r="I50" s="134">
        <f>48500+3866</f>
        <v>52366</v>
      </c>
      <c r="J50" s="111">
        <v>528.9</v>
      </c>
      <c r="K50" s="134">
        <v>16000</v>
      </c>
      <c r="L50" s="111"/>
      <c r="M50" s="111"/>
      <c r="N50" s="134">
        <v>0</v>
      </c>
      <c r="O50" s="111">
        <v>0</v>
      </c>
      <c r="P50" s="111"/>
      <c r="Q50" s="111"/>
      <c r="R50" s="134">
        <v>0</v>
      </c>
      <c r="S50" s="111">
        <v>0</v>
      </c>
      <c r="T50" s="121"/>
      <c r="U50" s="121"/>
    </row>
    <row r="51" spans="1:21" s="324" customFormat="1" ht="12">
      <c r="A51" s="651"/>
      <c r="B51" s="360"/>
      <c r="C51" s="361"/>
      <c r="D51" s="362"/>
      <c r="E51" s="363"/>
      <c r="F51" s="363"/>
      <c r="G51" s="339"/>
      <c r="H51" s="339"/>
      <c r="I51" s="338"/>
      <c r="J51" s="339"/>
      <c r="K51" s="338"/>
      <c r="L51" s="339"/>
      <c r="M51" s="339"/>
      <c r="N51" s="338"/>
      <c r="O51" s="339"/>
      <c r="P51" s="339"/>
      <c r="Q51" s="339"/>
      <c r="R51" s="338">
        <v>5506</v>
      </c>
      <c r="S51" s="339">
        <v>55.6</v>
      </c>
      <c r="T51" s="356"/>
      <c r="U51" s="356"/>
    </row>
    <row r="52" spans="1:21" s="391" customFormat="1" ht="24" customHeight="1">
      <c r="A52" s="651" t="s">
        <v>43</v>
      </c>
      <c r="B52" s="400"/>
      <c r="C52" s="401"/>
      <c r="D52" s="402"/>
      <c r="E52" s="207"/>
      <c r="F52" s="207"/>
      <c r="G52" s="111"/>
      <c r="H52" s="111"/>
      <c r="I52" s="134">
        <v>59400</v>
      </c>
      <c r="J52" s="111">
        <v>600</v>
      </c>
      <c r="K52" s="134">
        <v>0</v>
      </c>
      <c r="L52" s="111"/>
      <c r="M52" s="111"/>
      <c r="N52" s="134">
        <v>0</v>
      </c>
      <c r="O52" s="111">
        <v>0</v>
      </c>
      <c r="P52" s="111"/>
      <c r="Q52" s="111"/>
      <c r="R52" s="134">
        <v>0</v>
      </c>
      <c r="S52" s="111">
        <v>0</v>
      </c>
      <c r="T52" s="121"/>
      <c r="U52" s="121"/>
    </row>
    <row r="53" spans="1:21" s="324" customFormat="1" ht="12">
      <c r="A53" s="651"/>
      <c r="B53" s="360"/>
      <c r="C53" s="361"/>
      <c r="D53" s="362"/>
      <c r="E53" s="363"/>
      <c r="F53" s="363"/>
      <c r="G53" s="339"/>
      <c r="H53" s="339"/>
      <c r="I53" s="338"/>
      <c r="J53" s="339"/>
      <c r="K53" s="338"/>
      <c r="L53" s="339"/>
      <c r="M53" s="339"/>
      <c r="N53" s="338">
        <v>0</v>
      </c>
      <c r="O53" s="339"/>
      <c r="P53" s="339"/>
      <c r="Q53" s="339"/>
      <c r="R53" s="338">
        <v>418.4</v>
      </c>
      <c r="S53" s="339">
        <v>4.2</v>
      </c>
      <c r="T53" s="356"/>
      <c r="U53" s="356"/>
    </row>
    <row r="54" spans="1:21" s="391" customFormat="1" ht="24" customHeight="1">
      <c r="A54" s="651" t="s">
        <v>44</v>
      </c>
      <c r="B54" s="400"/>
      <c r="C54" s="401"/>
      <c r="D54" s="402"/>
      <c r="E54" s="207"/>
      <c r="F54" s="207"/>
      <c r="G54" s="111"/>
      <c r="H54" s="111"/>
      <c r="I54" s="134">
        <v>49500</v>
      </c>
      <c r="J54" s="111">
        <v>500</v>
      </c>
      <c r="K54" s="134">
        <v>0</v>
      </c>
      <c r="L54" s="111"/>
      <c r="M54" s="111"/>
      <c r="N54" s="134">
        <v>0</v>
      </c>
      <c r="O54" s="111">
        <v>0</v>
      </c>
      <c r="P54" s="111"/>
      <c r="Q54" s="111"/>
      <c r="R54" s="134">
        <v>0</v>
      </c>
      <c r="S54" s="111">
        <v>0</v>
      </c>
      <c r="T54" s="121"/>
      <c r="U54" s="121"/>
    </row>
    <row r="55" spans="1:21" s="324" customFormat="1" ht="12">
      <c r="A55" s="651"/>
      <c r="B55" s="360"/>
      <c r="C55" s="361"/>
      <c r="D55" s="362"/>
      <c r="E55" s="363"/>
      <c r="F55" s="363"/>
      <c r="G55" s="339"/>
      <c r="H55" s="339"/>
      <c r="I55" s="338"/>
      <c r="J55" s="339"/>
      <c r="K55" s="338"/>
      <c r="L55" s="339"/>
      <c r="M55" s="339"/>
      <c r="N55" s="338">
        <v>0</v>
      </c>
      <c r="O55" s="339"/>
      <c r="P55" s="339"/>
      <c r="Q55" s="339"/>
      <c r="R55" s="338">
        <v>0</v>
      </c>
      <c r="S55" s="339"/>
      <c r="T55" s="356"/>
      <c r="U55" s="356"/>
    </row>
    <row r="56" spans="1:21" s="391" customFormat="1" ht="24">
      <c r="A56" s="204" t="s">
        <v>20</v>
      </c>
      <c r="B56" s="400"/>
      <c r="C56" s="401"/>
      <c r="D56" s="402"/>
      <c r="E56" s="207"/>
      <c r="F56" s="207"/>
      <c r="G56" s="111"/>
      <c r="H56" s="111"/>
      <c r="I56" s="134">
        <v>49500</v>
      </c>
      <c r="J56" s="111">
        <v>500</v>
      </c>
      <c r="K56" s="134">
        <v>0</v>
      </c>
      <c r="L56" s="111"/>
      <c r="M56" s="111"/>
      <c r="N56" s="134">
        <v>0</v>
      </c>
      <c r="O56" s="111">
        <v>0</v>
      </c>
      <c r="P56" s="111"/>
      <c r="Q56" s="111"/>
      <c r="R56" s="134">
        <v>0</v>
      </c>
      <c r="S56" s="111">
        <v>0</v>
      </c>
      <c r="T56" s="121"/>
      <c r="U56" s="121"/>
    </row>
    <row r="57" spans="1:21" s="391" customFormat="1" ht="36">
      <c r="A57" s="204" t="s">
        <v>21</v>
      </c>
      <c r="B57" s="400"/>
      <c r="C57" s="401"/>
      <c r="D57" s="402"/>
      <c r="E57" s="207"/>
      <c r="F57" s="207"/>
      <c r="G57" s="111"/>
      <c r="H57" s="111"/>
      <c r="I57" s="134">
        <f>1980-139.4</f>
        <v>1840.6</v>
      </c>
      <c r="J57" s="111">
        <v>18.6</v>
      </c>
      <c r="K57" s="134">
        <v>0</v>
      </c>
      <c r="L57" s="111"/>
      <c r="M57" s="111"/>
      <c r="N57" s="134">
        <v>0</v>
      </c>
      <c r="O57" s="111">
        <v>0</v>
      </c>
      <c r="P57" s="111"/>
      <c r="Q57" s="111"/>
      <c r="R57" s="134">
        <v>0</v>
      </c>
      <c r="S57" s="111">
        <v>0</v>
      </c>
      <c r="T57" s="121"/>
      <c r="U57" s="121"/>
    </row>
    <row r="58" spans="1:21" s="391" customFormat="1" ht="24.75" customHeight="1">
      <c r="A58" s="204" t="s">
        <v>22</v>
      </c>
      <c r="B58" s="400"/>
      <c r="C58" s="401"/>
      <c r="D58" s="402"/>
      <c r="E58" s="207"/>
      <c r="F58" s="207"/>
      <c r="G58" s="111"/>
      <c r="H58" s="111"/>
      <c r="I58" s="134">
        <v>2970</v>
      </c>
      <c r="J58" s="111">
        <v>30</v>
      </c>
      <c r="K58" s="134">
        <v>150</v>
      </c>
      <c r="L58" s="111"/>
      <c r="M58" s="111"/>
      <c r="N58" s="134">
        <v>0</v>
      </c>
      <c r="O58" s="111">
        <v>0</v>
      </c>
      <c r="P58" s="111"/>
      <c r="Q58" s="111"/>
      <c r="R58" s="134">
        <v>0</v>
      </c>
      <c r="S58" s="111">
        <v>0</v>
      </c>
      <c r="T58" s="121"/>
      <c r="U58" s="121"/>
    </row>
    <row r="59" spans="1:21" s="391" customFormat="1" ht="36">
      <c r="A59" s="204" t="s">
        <v>23</v>
      </c>
      <c r="B59" s="400"/>
      <c r="C59" s="401"/>
      <c r="D59" s="402"/>
      <c r="E59" s="207"/>
      <c r="F59" s="207"/>
      <c r="G59" s="111"/>
      <c r="H59" s="111"/>
      <c r="I59" s="134">
        <v>4950</v>
      </c>
      <c r="J59" s="111">
        <v>50</v>
      </c>
      <c r="K59" s="134">
        <v>250</v>
      </c>
      <c r="L59" s="111"/>
      <c r="M59" s="111"/>
      <c r="N59" s="134">
        <v>0</v>
      </c>
      <c r="O59" s="111">
        <v>0</v>
      </c>
      <c r="P59" s="111"/>
      <c r="Q59" s="111"/>
      <c r="R59" s="134">
        <v>0</v>
      </c>
      <c r="S59" s="111">
        <v>0</v>
      </c>
      <c r="T59" s="121"/>
      <c r="U59" s="121"/>
    </row>
    <row r="60" spans="1:21" s="391" customFormat="1" ht="36">
      <c r="A60" s="204" t="s">
        <v>24</v>
      </c>
      <c r="B60" s="400"/>
      <c r="C60" s="401"/>
      <c r="D60" s="402"/>
      <c r="E60" s="207"/>
      <c r="F60" s="207"/>
      <c r="G60" s="111"/>
      <c r="H60" s="111"/>
      <c r="I60" s="134">
        <v>4950</v>
      </c>
      <c r="J60" s="111">
        <v>50</v>
      </c>
      <c r="K60" s="134">
        <v>250</v>
      </c>
      <c r="L60" s="111"/>
      <c r="M60" s="111"/>
      <c r="N60" s="134">
        <v>0</v>
      </c>
      <c r="O60" s="111">
        <v>0</v>
      </c>
      <c r="P60" s="111"/>
      <c r="Q60" s="111"/>
      <c r="R60" s="134">
        <v>0</v>
      </c>
      <c r="S60" s="111">
        <v>0</v>
      </c>
      <c r="T60" s="121"/>
      <c r="U60" s="121"/>
    </row>
    <row r="61" spans="1:21" s="391" customFormat="1" ht="36">
      <c r="A61" s="204" t="s">
        <v>25</v>
      </c>
      <c r="B61" s="400"/>
      <c r="C61" s="401"/>
      <c r="D61" s="402"/>
      <c r="E61" s="207"/>
      <c r="F61" s="207"/>
      <c r="G61" s="111"/>
      <c r="H61" s="111"/>
      <c r="I61" s="134">
        <v>2475</v>
      </c>
      <c r="J61" s="111">
        <v>25</v>
      </c>
      <c r="K61" s="134">
        <v>125</v>
      </c>
      <c r="L61" s="111"/>
      <c r="M61" s="111"/>
      <c r="N61" s="134">
        <v>0</v>
      </c>
      <c r="O61" s="111">
        <v>0</v>
      </c>
      <c r="P61" s="111"/>
      <c r="Q61" s="111"/>
      <c r="R61" s="134">
        <v>0</v>
      </c>
      <c r="S61" s="111">
        <v>0</v>
      </c>
      <c r="T61" s="121"/>
      <c r="U61" s="121"/>
    </row>
    <row r="62" spans="1:21" s="391" customFormat="1" ht="36">
      <c r="A62" s="204" t="s">
        <v>26</v>
      </c>
      <c r="B62" s="400"/>
      <c r="C62" s="401"/>
      <c r="D62" s="402"/>
      <c r="E62" s="207"/>
      <c r="F62" s="207"/>
      <c r="G62" s="111"/>
      <c r="H62" s="111"/>
      <c r="I62" s="134">
        <v>2475</v>
      </c>
      <c r="J62" s="111">
        <v>25</v>
      </c>
      <c r="K62" s="134">
        <v>125</v>
      </c>
      <c r="L62" s="111"/>
      <c r="M62" s="111"/>
      <c r="N62" s="134">
        <v>0</v>
      </c>
      <c r="O62" s="111">
        <v>0</v>
      </c>
      <c r="P62" s="111"/>
      <c r="Q62" s="111"/>
      <c r="R62" s="134">
        <v>0</v>
      </c>
      <c r="S62" s="111">
        <v>0</v>
      </c>
      <c r="T62" s="121"/>
      <c r="U62" s="121"/>
    </row>
    <row r="63" spans="1:21" s="391" customFormat="1" ht="36">
      <c r="A63" s="204" t="s">
        <v>27</v>
      </c>
      <c r="B63" s="400"/>
      <c r="C63" s="401"/>
      <c r="D63" s="402"/>
      <c r="E63" s="207"/>
      <c r="F63" s="207"/>
      <c r="G63" s="111"/>
      <c r="H63" s="111"/>
      <c r="I63" s="134">
        <v>4379.3</v>
      </c>
      <c r="J63" s="111">
        <v>44.2</v>
      </c>
      <c r="K63" s="134">
        <v>220</v>
      </c>
      <c r="L63" s="111"/>
      <c r="M63" s="111"/>
      <c r="N63" s="134">
        <v>0</v>
      </c>
      <c r="O63" s="111">
        <v>0</v>
      </c>
      <c r="P63" s="111"/>
      <c r="Q63" s="111"/>
      <c r="R63" s="134">
        <v>0</v>
      </c>
      <c r="S63" s="111">
        <v>0</v>
      </c>
      <c r="T63" s="121"/>
      <c r="U63" s="121"/>
    </row>
    <row r="64" spans="1:21" s="391" customFormat="1" ht="48.75" customHeight="1">
      <c r="A64" s="204" t="s">
        <v>28</v>
      </c>
      <c r="B64" s="400"/>
      <c r="C64" s="401"/>
      <c r="D64" s="402"/>
      <c r="E64" s="207"/>
      <c r="F64" s="207"/>
      <c r="G64" s="111"/>
      <c r="H64" s="111"/>
      <c r="I64" s="134">
        <v>1864.5</v>
      </c>
      <c r="J64" s="111">
        <v>18.8</v>
      </c>
      <c r="K64" s="134">
        <v>0</v>
      </c>
      <c r="L64" s="111"/>
      <c r="M64" s="111"/>
      <c r="N64" s="134">
        <v>0</v>
      </c>
      <c r="O64" s="111">
        <v>0</v>
      </c>
      <c r="P64" s="111"/>
      <c r="Q64" s="111"/>
      <c r="R64" s="134">
        <v>0</v>
      </c>
      <c r="S64" s="111">
        <v>0</v>
      </c>
      <c r="T64" s="121"/>
      <c r="U64" s="121"/>
    </row>
    <row r="65" spans="1:21" s="391" customFormat="1" ht="62.25" customHeight="1">
      <c r="A65" s="204" t="s">
        <v>29</v>
      </c>
      <c r="B65" s="400"/>
      <c r="C65" s="401"/>
      <c r="D65" s="402"/>
      <c r="E65" s="207"/>
      <c r="F65" s="207"/>
      <c r="G65" s="111"/>
      <c r="H65" s="111"/>
      <c r="I65" s="134">
        <v>693</v>
      </c>
      <c r="J65" s="111">
        <v>7</v>
      </c>
      <c r="K65" s="134">
        <v>0</v>
      </c>
      <c r="L65" s="111"/>
      <c r="M65" s="111"/>
      <c r="N65" s="134">
        <v>0</v>
      </c>
      <c r="O65" s="111">
        <v>0</v>
      </c>
      <c r="P65" s="111"/>
      <c r="Q65" s="111"/>
      <c r="R65" s="134">
        <v>0</v>
      </c>
      <c r="S65" s="111">
        <v>0</v>
      </c>
      <c r="T65" s="121"/>
      <c r="U65" s="121"/>
    </row>
    <row r="66" spans="1:21" s="391" customFormat="1" ht="26.25" customHeight="1">
      <c r="A66" s="204" t="s">
        <v>30</v>
      </c>
      <c r="B66" s="400"/>
      <c r="C66" s="401"/>
      <c r="D66" s="402"/>
      <c r="E66" s="207"/>
      <c r="F66" s="207"/>
      <c r="G66" s="111"/>
      <c r="H66" s="111"/>
      <c r="I66" s="134">
        <v>3465</v>
      </c>
      <c r="J66" s="111">
        <v>35</v>
      </c>
      <c r="K66" s="134">
        <v>0</v>
      </c>
      <c r="L66" s="111"/>
      <c r="M66" s="111"/>
      <c r="N66" s="134">
        <v>0</v>
      </c>
      <c r="O66" s="111">
        <v>0</v>
      </c>
      <c r="P66" s="111"/>
      <c r="Q66" s="111"/>
      <c r="R66" s="134">
        <v>0</v>
      </c>
      <c r="S66" s="111">
        <v>0</v>
      </c>
      <c r="T66" s="121"/>
      <c r="U66" s="121"/>
    </row>
    <row r="67" spans="1:21" s="391" customFormat="1" ht="26.25" customHeight="1">
      <c r="A67" s="204" t="s">
        <v>31</v>
      </c>
      <c r="B67" s="400"/>
      <c r="C67" s="401"/>
      <c r="D67" s="402"/>
      <c r="E67" s="207"/>
      <c r="F67" s="207"/>
      <c r="G67" s="111"/>
      <c r="H67" s="111"/>
      <c r="I67" s="134">
        <v>792</v>
      </c>
      <c r="J67" s="111">
        <v>8</v>
      </c>
      <c r="K67" s="134">
        <v>0</v>
      </c>
      <c r="L67" s="111"/>
      <c r="M67" s="111"/>
      <c r="N67" s="134">
        <v>0</v>
      </c>
      <c r="O67" s="111">
        <v>0</v>
      </c>
      <c r="P67" s="111"/>
      <c r="Q67" s="111"/>
      <c r="R67" s="134">
        <v>0</v>
      </c>
      <c r="S67" s="111">
        <v>0</v>
      </c>
      <c r="T67" s="121"/>
      <c r="U67" s="121"/>
    </row>
    <row r="68" spans="1:21" s="391" customFormat="1" ht="36">
      <c r="A68" s="204" t="s">
        <v>32</v>
      </c>
      <c r="B68" s="400"/>
      <c r="C68" s="401"/>
      <c r="D68" s="402"/>
      <c r="E68" s="207"/>
      <c r="F68" s="207"/>
      <c r="G68" s="111"/>
      <c r="H68" s="111"/>
      <c r="I68" s="134">
        <v>1980</v>
      </c>
      <c r="J68" s="111">
        <v>20</v>
      </c>
      <c r="K68" s="134">
        <v>0</v>
      </c>
      <c r="L68" s="111"/>
      <c r="M68" s="111"/>
      <c r="N68" s="134">
        <v>0</v>
      </c>
      <c r="O68" s="111">
        <v>0</v>
      </c>
      <c r="P68" s="111"/>
      <c r="Q68" s="111"/>
      <c r="R68" s="134">
        <v>0</v>
      </c>
      <c r="S68" s="111">
        <v>0</v>
      </c>
      <c r="T68" s="121"/>
      <c r="U68" s="121"/>
    </row>
    <row r="69" spans="1:21" s="391" customFormat="1" ht="37.5" customHeight="1">
      <c r="A69" s="204" t="s">
        <v>33</v>
      </c>
      <c r="B69" s="400"/>
      <c r="C69" s="401"/>
      <c r="D69" s="402"/>
      <c r="E69" s="207"/>
      <c r="F69" s="207"/>
      <c r="G69" s="111"/>
      <c r="H69" s="111"/>
      <c r="I69" s="134">
        <v>429.2</v>
      </c>
      <c r="J69" s="111">
        <v>4.3</v>
      </c>
      <c r="K69" s="134">
        <v>0</v>
      </c>
      <c r="L69" s="111"/>
      <c r="M69" s="111"/>
      <c r="N69" s="134">
        <v>0</v>
      </c>
      <c r="O69" s="111">
        <v>0</v>
      </c>
      <c r="P69" s="111"/>
      <c r="Q69" s="111"/>
      <c r="R69" s="134">
        <v>0</v>
      </c>
      <c r="S69" s="111">
        <v>0</v>
      </c>
      <c r="T69" s="121"/>
      <c r="U69" s="121"/>
    </row>
    <row r="70" spans="1:21" s="391" customFormat="1" ht="38.25" customHeight="1">
      <c r="A70" s="403" t="s">
        <v>34</v>
      </c>
      <c r="B70" s="400"/>
      <c r="C70" s="401"/>
      <c r="D70" s="402"/>
      <c r="E70" s="207"/>
      <c r="F70" s="207"/>
      <c r="G70" s="111"/>
      <c r="H70" s="111"/>
      <c r="I70" s="134">
        <v>432.3</v>
      </c>
      <c r="J70" s="111">
        <v>4.4</v>
      </c>
      <c r="K70" s="134">
        <v>0</v>
      </c>
      <c r="L70" s="111"/>
      <c r="M70" s="111"/>
      <c r="N70" s="134">
        <v>0</v>
      </c>
      <c r="O70" s="111">
        <v>0</v>
      </c>
      <c r="P70" s="111"/>
      <c r="Q70" s="111"/>
      <c r="R70" s="134">
        <v>0</v>
      </c>
      <c r="S70" s="111">
        <v>0</v>
      </c>
      <c r="T70" s="121"/>
      <c r="U70" s="121"/>
    </row>
    <row r="71" spans="1:21" s="391" customFormat="1" ht="36">
      <c r="A71" s="403" t="s">
        <v>35</v>
      </c>
      <c r="B71" s="400"/>
      <c r="C71" s="401"/>
      <c r="D71" s="402"/>
      <c r="E71" s="207"/>
      <c r="F71" s="207"/>
      <c r="G71" s="111"/>
      <c r="H71" s="111"/>
      <c r="I71" s="134">
        <v>1560.7</v>
      </c>
      <c r="J71" s="111">
        <v>15.8</v>
      </c>
      <c r="K71" s="134">
        <v>0</v>
      </c>
      <c r="L71" s="111"/>
      <c r="M71" s="111"/>
      <c r="N71" s="134">
        <v>0</v>
      </c>
      <c r="O71" s="111">
        <v>0</v>
      </c>
      <c r="P71" s="111"/>
      <c r="Q71" s="111"/>
      <c r="R71" s="134">
        <v>0</v>
      </c>
      <c r="S71" s="111">
        <v>0</v>
      </c>
      <c r="T71" s="121"/>
      <c r="U71" s="121"/>
    </row>
    <row r="72" spans="1:21" s="391" customFormat="1" ht="24">
      <c r="A72" s="404" t="s">
        <v>36</v>
      </c>
      <c r="B72" s="111"/>
      <c r="C72" s="405"/>
      <c r="D72" s="111"/>
      <c r="E72" s="405"/>
      <c r="F72" s="405"/>
      <c r="G72" s="111"/>
      <c r="H72" s="111"/>
      <c r="I72" s="134">
        <v>3960</v>
      </c>
      <c r="J72" s="111">
        <v>40</v>
      </c>
      <c r="K72" s="134">
        <v>0</v>
      </c>
      <c r="L72" s="111"/>
      <c r="M72" s="111"/>
      <c r="N72" s="134">
        <v>0</v>
      </c>
      <c r="O72" s="111">
        <v>0</v>
      </c>
      <c r="P72" s="111"/>
      <c r="Q72" s="111"/>
      <c r="R72" s="134">
        <v>0</v>
      </c>
      <c r="S72" s="111">
        <v>0</v>
      </c>
      <c r="T72" s="121"/>
      <c r="U72" s="121"/>
    </row>
    <row r="73" spans="1:21" s="391" customFormat="1" ht="36">
      <c r="A73" s="404" t="s">
        <v>91</v>
      </c>
      <c r="B73" s="111"/>
      <c r="C73" s="405"/>
      <c r="D73" s="111"/>
      <c r="E73" s="405"/>
      <c r="F73" s="405"/>
      <c r="G73" s="111"/>
      <c r="H73" s="111"/>
      <c r="I73" s="134">
        <v>14850</v>
      </c>
      <c r="J73" s="111">
        <v>150</v>
      </c>
      <c r="K73" s="134">
        <v>0</v>
      </c>
      <c r="L73" s="111"/>
      <c r="M73" s="111"/>
      <c r="N73" s="134">
        <v>0</v>
      </c>
      <c r="O73" s="111">
        <v>0</v>
      </c>
      <c r="P73" s="111"/>
      <c r="Q73" s="111"/>
      <c r="R73" s="134">
        <v>0</v>
      </c>
      <c r="S73" s="111">
        <v>0</v>
      </c>
      <c r="T73" s="121"/>
      <c r="U73" s="121"/>
    </row>
    <row r="74" spans="1:21" s="391" customFormat="1" ht="36">
      <c r="A74" s="404" t="s">
        <v>92</v>
      </c>
      <c r="B74" s="111"/>
      <c r="C74" s="405"/>
      <c r="D74" s="111"/>
      <c r="E74" s="405"/>
      <c r="F74" s="405"/>
      <c r="G74" s="111"/>
      <c r="H74" s="111"/>
      <c r="I74" s="134">
        <v>750</v>
      </c>
      <c r="J74" s="111">
        <v>7.6</v>
      </c>
      <c r="K74" s="134">
        <v>0</v>
      </c>
      <c r="L74" s="111"/>
      <c r="M74" s="111"/>
      <c r="N74" s="134">
        <v>0</v>
      </c>
      <c r="O74" s="111">
        <v>0</v>
      </c>
      <c r="P74" s="111"/>
      <c r="Q74" s="111"/>
      <c r="R74" s="134">
        <v>0</v>
      </c>
      <c r="S74" s="111">
        <v>0</v>
      </c>
      <c r="T74" s="121"/>
      <c r="U74" s="121"/>
    </row>
    <row r="75" spans="1:21" s="391" customFormat="1" ht="108">
      <c r="A75" s="404" t="s">
        <v>93</v>
      </c>
      <c r="B75" s="111"/>
      <c r="C75" s="405"/>
      <c r="D75" s="111"/>
      <c r="E75" s="405"/>
      <c r="F75" s="405"/>
      <c r="G75" s="111"/>
      <c r="H75" s="111"/>
      <c r="I75" s="134">
        <v>535.1</v>
      </c>
      <c r="J75" s="111">
        <v>5.4</v>
      </c>
      <c r="K75" s="134">
        <v>0</v>
      </c>
      <c r="L75" s="111"/>
      <c r="M75" s="111"/>
      <c r="N75" s="134">
        <v>0</v>
      </c>
      <c r="O75" s="111">
        <v>0</v>
      </c>
      <c r="P75" s="111"/>
      <c r="Q75" s="111"/>
      <c r="R75" s="134">
        <v>0</v>
      </c>
      <c r="S75" s="111">
        <v>0</v>
      </c>
      <c r="T75" s="121"/>
      <c r="U75" s="121"/>
    </row>
    <row r="76" spans="1:21" s="391" customFormat="1" ht="108">
      <c r="A76" s="404" t="s">
        <v>94</v>
      </c>
      <c r="B76" s="111"/>
      <c r="C76" s="405"/>
      <c r="D76" s="111"/>
      <c r="E76" s="405"/>
      <c r="F76" s="405"/>
      <c r="G76" s="111"/>
      <c r="H76" s="111"/>
      <c r="I76" s="134">
        <v>535.1</v>
      </c>
      <c r="J76" s="111">
        <v>5.4</v>
      </c>
      <c r="K76" s="134">
        <v>0</v>
      </c>
      <c r="L76" s="111"/>
      <c r="M76" s="111"/>
      <c r="N76" s="134">
        <v>0</v>
      </c>
      <c r="O76" s="111">
        <v>0</v>
      </c>
      <c r="P76" s="111"/>
      <c r="Q76" s="111"/>
      <c r="R76" s="134">
        <v>0</v>
      </c>
      <c r="S76" s="111">
        <v>0</v>
      </c>
      <c r="T76" s="121"/>
      <c r="U76" s="121"/>
    </row>
    <row r="77" spans="1:21" s="391" customFormat="1" ht="108">
      <c r="A77" s="404" t="s">
        <v>95</v>
      </c>
      <c r="B77" s="111"/>
      <c r="C77" s="405"/>
      <c r="D77" s="111"/>
      <c r="E77" s="405"/>
      <c r="F77" s="405"/>
      <c r="G77" s="111"/>
      <c r="H77" s="111"/>
      <c r="I77" s="134">
        <v>535.1</v>
      </c>
      <c r="J77" s="111">
        <v>5.4</v>
      </c>
      <c r="K77" s="134">
        <v>0</v>
      </c>
      <c r="L77" s="111"/>
      <c r="M77" s="111"/>
      <c r="N77" s="134">
        <v>0</v>
      </c>
      <c r="O77" s="111">
        <v>0</v>
      </c>
      <c r="P77" s="111"/>
      <c r="Q77" s="111"/>
      <c r="R77" s="134">
        <v>0</v>
      </c>
      <c r="S77" s="111">
        <v>0</v>
      </c>
      <c r="T77" s="121"/>
      <c r="U77" s="121"/>
    </row>
    <row r="78" spans="1:21" s="391" customFormat="1" ht="36">
      <c r="A78" s="404" t="s">
        <v>96</v>
      </c>
      <c r="B78" s="111"/>
      <c r="C78" s="405"/>
      <c r="D78" s="111"/>
      <c r="E78" s="405"/>
      <c r="F78" s="405"/>
      <c r="G78" s="111"/>
      <c r="H78" s="111"/>
      <c r="I78" s="134">
        <v>560.5</v>
      </c>
      <c r="J78" s="111">
        <v>5.7</v>
      </c>
      <c r="K78" s="134">
        <v>0</v>
      </c>
      <c r="L78" s="111"/>
      <c r="M78" s="111"/>
      <c r="N78" s="134">
        <v>0</v>
      </c>
      <c r="O78" s="111">
        <v>0</v>
      </c>
      <c r="P78" s="111"/>
      <c r="Q78" s="111"/>
      <c r="R78" s="134">
        <v>0</v>
      </c>
      <c r="S78" s="111">
        <v>0</v>
      </c>
      <c r="T78" s="121"/>
      <c r="U78" s="121"/>
    </row>
    <row r="79" spans="1:21" ht="40.5">
      <c r="A79" s="79" t="s">
        <v>251</v>
      </c>
      <c r="B79" s="90" t="s">
        <v>233</v>
      </c>
      <c r="C79" s="87" t="s">
        <v>252</v>
      </c>
      <c r="D79" s="40"/>
      <c r="E79" s="87"/>
      <c r="F79" s="87"/>
      <c r="G79" s="40">
        <f>G80</f>
        <v>15523.6</v>
      </c>
      <c r="H79" s="40"/>
      <c r="I79" s="132">
        <f aca="true" t="shared" si="20" ref="I79:L81">I80</f>
        <v>15523.6</v>
      </c>
      <c r="J79" s="40">
        <f t="shared" si="20"/>
        <v>0</v>
      </c>
      <c r="K79" s="132">
        <f t="shared" si="20"/>
        <v>2500</v>
      </c>
      <c r="L79" s="40">
        <f t="shared" si="20"/>
        <v>0</v>
      </c>
      <c r="M79" s="40"/>
      <c r="N79" s="132">
        <f aca="true" t="shared" si="21" ref="N79:P81">N80</f>
        <v>0</v>
      </c>
      <c r="O79" s="40">
        <f t="shared" si="21"/>
        <v>0</v>
      </c>
      <c r="P79" s="40">
        <f t="shared" si="21"/>
        <v>0</v>
      </c>
      <c r="Q79" s="40"/>
      <c r="R79" s="132">
        <f aca="true" t="shared" si="22" ref="R79:S82">R80</f>
        <v>0</v>
      </c>
      <c r="S79" s="40">
        <f t="shared" si="22"/>
        <v>0</v>
      </c>
      <c r="T79" s="222">
        <f>SUM(N79/K79)*100</f>
        <v>0</v>
      </c>
      <c r="U79" s="118">
        <v>0</v>
      </c>
    </row>
    <row r="80" spans="1:21" ht="12.75">
      <c r="A80" s="95" t="s">
        <v>255</v>
      </c>
      <c r="B80" s="60" t="s">
        <v>233</v>
      </c>
      <c r="C80" s="81" t="s">
        <v>252</v>
      </c>
      <c r="D80" s="81" t="s">
        <v>253</v>
      </c>
      <c r="E80" s="81"/>
      <c r="F80" s="81"/>
      <c r="G80" s="39">
        <f>G81</f>
        <v>15523.6</v>
      </c>
      <c r="H80" s="39"/>
      <c r="I80" s="130">
        <f t="shared" si="20"/>
        <v>15523.6</v>
      </c>
      <c r="J80" s="39">
        <f t="shared" si="20"/>
        <v>0</v>
      </c>
      <c r="K80" s="130">
        <f t="shared" si="20"/>
        <v>2500</v>
      </c>
      <c r="L80" s="39">
        <f t="shared" si="20"/>
        <v>0</v>
      </c>
      <c r="M80" s="39"/>
      <c r="N80" s="130">
        <f t="shared" si="21"/>
        <v>0</v>
      </c>
      <c r="O80" s="39">
        <f t="shared" si="21"/>
        <v>0</v>
      </c>
      <c r="P80" s="39">
        <f t="shared" si="21"/>
        <v>0</v>
      </c>
      <c r="Q80" s="39"/>
      <c r="R80" s="130">
        <f t="shared" si="22"/>
        <v>0</v>
      </c>
      <c r="S80" s="39">
        <f t="shared" si="22"/>
        <v>0</v>
      </c>
      <c r="T80" s="118"/>
      <c r="U80" s="118"/>
    </row>
    <row r="81" spans="1:21" ht="12.75">
      <c r="A81" s="95" t="s">
        <v>254</v>
      </c>
      <c r="B81" s="60" t="s">
        <v>233</v>
      </c>
      <c r="C81" s="81" t="s">
        <v>252</v>
      </c>
      <c r="D81" s="81" t="s">
        <v>253</v>
      </c>
      <c r="E81" s="81" t="s">
        <v>250</v>
      </c>
      <c r="F81" s="81"/>
      <c r="G81" s="39">
        <f>G82</f>
        <v>15523.6</v>
      </c>
      <c r="H81" s="39"/>
      <c r="I81" s="130">
        <f t="shared" si="20"/>
        <v>15523.6</v>
      </c>
      <c r="J81" s="39">
        <f t="shared" si="20"/>
        <v>0</v>
      </c>
      <c r="K81" s="130">
        <f t="shared" si="20"/>
        <v>2500</v>
      </c>
      <c r="L81" s="39">
        <f t="shared" si="20"/>
        <v>0</v>
      </c>
      <c r="M81" s="39"/>
      <c r="N81" s="130">
        <f t="shared" si="21"/>
        <v>0</v>
      </c>
      <c r="O81" s="39">
        <f t="shared" si="21"/>
        <v>0</v>
      </c>
      <c r="P81" s="39">
        <f t="shared" si="21"/>
        <v>0</v>
      </c>
      <c r="Q81" s="39"/>
      <c r="R81" s="130">
        <f t="shared" si="22"/>
        <v>0</v>
      </c>
      <c r="S81" s="39">
        <f t="shared" si="22"/>
        <v>0</v>
      </c>
      <c r="T81" s="118"/>
      <c r="U81" s="118"/>
    </row>
    <row r="82" spans="1:21" ht="38.25">
      <c r="A82" s="41" t="s">
        <v>327</v>
      </c>
      <c r="B82" s="60" t="s">
        <v>233</v>
      </c>
      <c r="C82" s="81" t="s">
        <v>252</v>
      </c>
      <c r="D82" s="81" t="s">
        <v>253</v>
      </c>
      <c r="E82" s="81" t="s">
        <v>250</v>
      </c>
      <c r="F82" s="81" t="s">
        <v>314</v>
      </c>
      <c r="G82" s="39">
        <f>H82+I82+J82</f>
        <v>15523.6</v>
      </c>
      <c r="H82" s="39"/>
      <c r="I82" s="130">
        <f>I83</f>
        <v>15523.6</v>
      </c>
      <c r="J82" s="39">
        <f>J83</f>
        <v>0</v>
      </c>
      <c r="K82" s="130">
        <f>K83</f>
        <v>2500</v>
      </c>
      <c r="L82" s="39">
        <f>M82+N82+O82</f>
        <v>0</v>
      </c>
      <c r="M82" s="39"/>
      <c r="N82" s="130">
        <f>N83</f>
        <v>0</v>
      </c>
      <c r="O82" s="39">
        <f>O83</f>
        <v>0</v>
      </c>
      <c r="P82" s="39">
        <f>Q82+R82+S82</f>
        <v>0</v>
      </c>
      <c r="Q82" s="39"/>
      <c r="R82" s="130">
        <f t="shared" si="22"/>
        <v>0</v>
      </c>
      <c r="S82" s="39">
        <f t="shared" si="22"/>
        <v>0</v>
      </c>
      <c r="T82" s="118"/>
      <c r="U82" s="118"/>
    </row>
    <row r="83" spans="1:21" s="391" customFormat="1" ht="48">
      <c r="A83" s="403" t="s">
        <v>52</v>
      </c>
      <c r="B83" s="111"/>
      <c r="C83" s="405"/>
      <c r="D83" s="111"/>
      <c r="E83" s="405"/>
      <c r="F83" s="405"/>
      <c r="G83" s="111"/>
      <c r="H83" s="111"/>
      <c r="I83" s="134">
        <v>15523.6</v>
      </c>
      <c r="J83" s="111">
        <v>0</v>
      </c>
      <c r="K83" s="134">
        <v>2500</v>
      </c>
      <c r="L83" s="111"/>
      <c r="M83" s="111"/>
      <c r="N83" s="134">
        <v>0</v>
      </c>
      <c r="O83" s="111">
        <v>0</v>
      </c>
      <c r="P83" s="111"/>
      <c r="Q83" s="111"/>
      <c r="R83" s="134">
        <v>0</v>
      </c>
      <c r="S83" s="111">
        <v>0</v>
      </c>
      <c r="T83" s="111"/>
      <c r="U83" s="111"/>
    </row>
    <row r="84" spans="1:21" s="395" customFormat="1" ht="12.75">
      <c r="A84" s="329" t="s">
        <v>468</v>
      </c>
      <c r="B84" s="329"/>
      <c r="C84" s="409" t="s">
        <v>231</v>
      </c>
      <c r="D84" s="329"/>
      <c r="E84" s="409"/>
      <c r="F84" s="409"/>
      <c r="G84" s="329"/>
      <c r="H84" s="329"/>
      <c r="I84" s="330"/>
      <c r="J84" s="329"/>
      <c r="K84" s="330"/>
      <c r="L84" s="329"/>
      <c r="M84" s="329"/>
      <c r="N84" s="330">
        <f>N85+N86+N87+N88+N89+N90+N91</f>
        <v>0</v>
      </c>
      <c r="O84" s="329"/>
      <c r="P84" s="329"/>
      <c r="Q84" s="329"/>
      <c r="R84" s="330">
        <f>R85+R86+R87+R88+R89+R90+R91</f>
        <v>9479.4</v>
      </c>
      <c r="S84" s="330">
        <f>S85+S86+S87+S88+S89+S90+S91</f>
        <v>95.8</v>
      </c>
      <c r="T84" s="410"/>
      <c r="U84" s="410"/>
    </row>
    <row r="85" spans="1:21" s="149" customFormat="1" ht="48" customHeight="1">
      <c r="A85" s="406" t="s">
        <v>45</v>
      </c>
      <c r="B85" s="339"/>
      <c r="C85" s="407"/>
      <c r="D85" s="339"/>
      <c r="E85" s="407"/>
      <c r="F85" s="407"/>
      <c r="G85" s="339"/>
      <c r="H85" s="339"/>
      <c r="I85" s="338"/>
      <c r="J85" s="339"/>
      <c r="K85" s="338"/>
      <c r="L85" s="339"/>
      <c r="M85" s="339"/>
      <c r="N85" s="338">
        <v>0</v>
      </c>
      <c r="O85" s="339"/>
      <c r="P85" s="339"/>
      <c r="Q85" s="339"/>
      <c r="R85" s="338">
        <v>880</v>
      </c>
      <c r="S85" s="339">
        <v>8.9</v>
      </c>
      <c r="T85" s="339"/>
      <c r="U85" s="339"/>
    </row>
    <row r="86" spans="1:21" s="324" customFormat="1" ht="24">
      <c r="A86" s="408" t="s">
        <v>46</v>
      </c>
      <c r="B86" s="339"/>
      <c r="C86" s="407"/>
      <c r="D86" s="339"/>
      <c r="E86" s="407"/>
      <c r="F86" s="407"/>
      <c r="G86" s="339"/>
      <c r="H86" s="339"/>
      <c r="I86" s="338"/>
      <c r="J86" s="339"/>
      <c r="K86" s="338"/>
      <c r="L86" s="339"/>
      <c r="M86" s="339"/>
      <c r="N86" s="338">
        <v>0</v>
      </c>
      <c r="O86" s="339"/>
      <c r="P86" s="339"/>
      <c r="Q86" s="339"/>
      <c r="R86" s="338">
        <v>0</v>
      </c>
      <c r="S86" s="339">
        <v>0</v>
      </c>
      <c r="T86" s="339"/>
      <c r="U86" s="339"/>
    </row>
    <row r="87" spans="1:21" s="324" customFormat="1" ht="36">
      <c r="A87" s="408" t="s">
        <v>47</v>
      </c>
      <c r="B87" s="339"/>
      <c r="C87" s="407"/>
      <c r="D87" s="339"/>
      <c r="E87" s="407"/>
      <c r="F87" s="407"/>
      <c r="G87" s="339"/>
      <c r="H87" s="339"/>
      <c r="I87" s="338"/>
      <c r="J87" s="339"/>
      <c r="K87" s="338"/>
      <c r="L87" s="339"/>
      <c r="M87" s="339"/>
      <c r="N87" s="338">
        <v>0</v>
      </c>
      <c r="O87" s="339"/>
      <c r="P87" s="339"/>
      <c r="Q87" s="339"/>
      <c r="R87" s="338">
        <v>6399.4</v>
      </c>
      <c r="S87" s="339">
        <v>64.6</v>
      </c>
      <c r="T87" s="339"/>
      <c r="U87" s="339"/>
    </row>
    <row r="88" spans="1:21" s="324" customFormat="1" ht="24">
      <c r="A88" s="408" t="s">
        <v>48</v>
      </c>
      <c r="B88" s="339"/>
      <c r="C88" s="407"/>
      <c r="D88" s="339"/>
      <c r="E88" s="407"/>
      <c r="F88" s="407"/>
      <c r="G88" s="339"/>
      <c r="H88" s="339"/>
      <c r="I88" s="338"/>
      <c r="J88" s="339"/>
      <c r="K88" s="338"/>
      <c r="L88" s="339"/>
      <c r="M88" s="339"/>
      <c r="N88" s="338">
        <v>0</v>
      </c>
      <c r="O88" s="339"/>
      <c r="P88" s="339"/>
      <c r="Q88" s="339"/>
      <c r="R88" s="338">
        <v>0</v>
      </c>
      <c r="S88" s="339">
        <v>0</v>
      </c>
      <c r="T88" s="339"/>
      <c r="U88" s="339"/>
    </row>
    <row r="89" spans="1:21" s="324" customFormat="1" ht="24.75" customHeight="1">
      <c r="A89" s="408" t="s">
        <v>49</v>
      </c>
      <c r="B89" s="339"/>
      <c r="C89" s="407"/>
      <c r="D89" s="339"/>
      <c r="E89" s="407"/>
      <c r="F89" s="407"/>
      <c r="G89" s="339"/>
      <c r="H89" s="339"/>
      <c r="I89" s="338"/>
      <c r="J89" s="339"/>
      <c r="K89" s="338"/>
      <c r="L89" s="339"/>
      <c r="M89" s="339"/>
      <c r="N89" s="338">
        <v>0</v>
      </c>
      <c r="O89" s="339"/>
      <c r="P89" s="339"/>
      <c r="Q89" s="339"/>
      <c r="R89" s="338">
        <v>986.9</v>
      </c>
      <c r="S89" s="339">
        <v>10</v>
      </c>
      <c r="T89" s="339"/>
      <c r="U89" s="339"/>
    </row>
    <row r="90" spans="1:21" s="324" customFormat="1" ht="12">
      <c r="A90" s="339" t="s">
        <v>50</v>
      </c>
      <c r="B90" s="339"/>
      <c r="C90" s="407"/>
      <c r="D90" s="339"/>
      <c r="E90" s="407"/>
      <c r="F90" s="407"/>
      <c r="G90" s="339"/>
      <c r="H90" s="339"/>
      <c r="I90" s="338"/>
      <c r="J90" s="339"/>
      <c r="K90" s="338"/>
      <c r="L90" s="339"/>
      <c r="M90" s="339"/>
      <c r="N90" s="338">
        <v>0</v>
      </c>
      <c r="O90" s="339"/>
      <c r="P90" s="339"/>
      <c r="Q90" s="339"/>
      <c r="R90" s="338">
        <v>1213.1</v>
      </c>
      <c r="S90" s="339">
        <v>12.3</v>
      </c>
      <c r="T90" s="339"/>
      <c r="U90" s="339"/>
    </row>
    <row r="91" spans="1:21" s="324" customFormat="1" ht="24">
      <c r="A91" s="408" t="s">
        <v>53</v>
      </c>
      <c r="B91" s="339"/>
      <c r="C91" s="407"/>
      <c r="D91" s="339"/>
      <c r="E91" s="407"/>
      <c r="F91" s="407"/>
      <c r="G91" s="339"/>
      <c r="H91" s="339"/>
      <c r="I91" s="338"/>
      <c r="J91" s="339"/>
      <c r="K91" s="338"/>
      <c r="L91" s="339"/>
      <c r="M91" s="339"/>
      <c r="N91" s="338">
        <v>0</v>
      </c>
      <c r="O91" s="339"/>
      <c r="P91" s="339"/>
      <c r="Q91" s="339"/>
      <c r="R91" s="338">
        <v>0</v>
      </c>
      <c r="S91" s="339">
        <v>0</v>
      </c>
      <c r="T91" s="339"/>
      <c r="U91" s="339"/>
    </row>
  </sheetData>
  <mergeCells count="22">
    <mergeCell ref="A50:A51"/>
    <mergeCell ref="A52:A53"/>
    <mergeCell ref="A54:A55"/>
    <mergeCell ref="A43:A44"/>
    <mergeCell ref="A45:A46"/>
    <mergeCell ref="A47:A48"/>
    <mergeCell ref="U5:U7"/>
    <mergeCell ref="T5:T7"/>
    <mergeCell ref="A5:A7"/>
    <mergeCell ref="B5:B7"/>
    <mergeCell ref="C5:C7"/>
    <mergeCell ref="P5:S5"/>
    <mergeCell ref="D5:D7"/>
    <mergeCell ref="E5:E7"/>
    <mergeCell ref="F5:F7"/>
    <mergeCell ref="H6:J6"/>
    <mergeCell ref="G6:G7"/>
    <mergeCell ref="K5:K7"/>
    <mergeCell ref="Q6:S6"/>
    <mergeCell ref="L6:L7"/>
    <mergeCell ref="P6:P7"/>
    <mergeCell ref="M6:O6"/>
  </mergeCells>
  <printOptions gridLines="1"/>
  <pageMargins left="0.1968503937007874" right="0" top="0.5905511811023623" bottom="0.1968503937007874" header="0.5118110236220472" footer="0.5118110236220472"/>
  <pageSetup fitToHeight="0" fitToWidth="1" horizontalDpi="600" verticalDpi="600" orientation="landscape" paperSize="9" scale="8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T60"/>
  <sheetViews>
    <sheetView zoomScale="120" zoomScaleNormal="120" workbookViewId="0" topLeftCell="A1">
      <selection activeCell="S40" sqref="S40"/>
    </sheetView>
  </sheetViews>
  <sheetFormatPr defaultColWidth="9.00390625" defaultRowHeight="12.75" outlineLevelCol="1"/>
  <cols>
    <col min="1" max="1" width="40.625" style="1" customWidth="1"/>
    <col min="2" max="2" width="9.25390625" style="1" customWidth="1"/>
    <col min="3" max="3" width="4.00390625" style="2" customWidth="1"/>
    <col min="4" max="4" width="3.25390625" style="1" customWidth="1"/>
    <col min="5" max="6" width="3.875" style="2" customWidth="1"/>
    <col min="7" max="7" width="9.25390625" style="1" customWidth="1"/>
    <col min="8" max="8" width="8.625" style="1" customWidth="1"/>
    <col min="9" max="9" width="7.75390625" style="1" customWidth="1"/>
    <col min="10" max="10" width="8.625" style="1" customWidth="1" outlineLevel="1"/>
    <col min="11" max="11" width="8.75390625" style="1" customWidth="1"/>
    <col min="12" max="12" width="8.625" style="1" customWidth="1"/>
    <col min="13" max="13" width="7.875" style="1" customWidth="1"/>
    <col min="14" max="14" width="8.75390625" style="1" customWidth="1"/>
    <col min="15" max="15" width="9.625" style="1" customWidth="1"/>
    <col min="16" max="16" width="6.75390625" style="1" customWidth="1"/>
    <col min="17" max="17" width="4.75390625" style="1" customWidth="1"/>
    <col min="18" max="18" width="5.00390625" style="1" customWidth="1"/>
    <col min="19" max="16384" width="9.125" style="1" customWidth="1"/>
  </cols>
  <sheetData>
    <row r="1" ht="14.25">
      <c r="H1" s="21" t="s">
        <v>307</v>
      </c>
    </row>
    <row r="2" ht="14.25">
      <c r="H2" s="21" t="s">
        <v>71</v>
      </c>
    </row>
    <row r="3" ht="14.25">
      <c r="H3" s="21" t="s">
        <v>152</v>
      </c>
    </row>
    <row r="4" ht="12.75">
      <c r="P4" s="125" t="s">
        <v>308</v>
      </c>
    </row>
    <row r="5" spans="1:18" s="13" customFormat="1" ht="11.25" customHeight="1">
      <c r="A5" s="660"/>
      <c r="B5" s="613" t="s">
        <v>213</v>
      </c>
      <c r="C5" s="613" t="s">
        <v>214</v>
      </c>
      <c r="D5" s="613" t="s">
        <v>215</v>
      </c>
      <c r="E5" s="613" t="s">
        <v>216</v>
      </c>
      <c r="F5" s="613" t="s">
        <v>218</v>
      </c>
      <c r="G5" s="33"/>
      <c r="H5" s="31" t="s">
        <v>300</v>
      </c>
      <c r="I5" s="32"/>
      <c r="J5" s="595" t="s">
        <v>72</v>
      </c>
      <c r="K5" s="33"/>
      <c r="L5" s="34" t="s">
        <v>301</v>
      </c>
      <c r="M5" s="32"/>
      <c r="N5" s="663" t="s">
        <v>302</v>
      </c>
      <c r="O5" s="664"/>
      <c r="P5" s="665"/>
      <c r="Q5" s="652" t="s">
        <v>339</v>
      </c>
      <c r="R5" s="652" t="s">
        <v>293</v>
      </c>
    </row>
    <row r="6" spans="1:18" s="13" customFormat="1" ht="14.25" customHeight="1">
      <c r="A6" s="661"/>
      <c r="B6" s="614"/>
      <c r="C6" s="614"/>
      <c r="D6" s="614"/>
      <c r="E6" s="614"/>
      <c r="F6" s="614"/>
      <c r="G6" s="656" t="s">
        <v>304</v>
      </c>
      <c r="H6" s="33" t="s">
        <v>303</v>
      </c>
      <c r="I6" s="32"/>
      <c r="J6" s="596"/>
      <c r="K6" s="656" t="s">
        <v>304</v>
      </c>
      <c r="L6" s="33" t="s">
        <v>303</v>
      </c>
      <c r="M6" s="32"/>
      <c r="N6" s="656" t="s">
        <v>304</v>
      </c>
      <c r="O6" s="658" t="s">
        <v>303</v>
      </c>
      <c r="P6" s="659"/>
      <c r="Q6" s="653"/>
      <c r="R6" s="653"/>
    </row>
    <row r="7" spans="1:18" s="13" customFormat="1" ht="35.25" customHeight="1">
      <c r="A7" s="662"/>
      <c r="B7" s="615"/>
      <c r="C7" s="615"/>
      <c r="D7" s="615"/>
      <c r="E7" s="615"/>
      <c r="F7" s="615"/>
      <c r="G7" s="657"/>
      <c r="H7" s="36" t="s">
        <v>305</v>
      </c>
      <c r="I7" s="37" t="s">
        <v>306</v>
      </c>
      <c r="J7" s="597"/>
      <c r="K7" s="657"/>
      <c r="L7" s="36" t="s">
        <v>305</v>
      </c>
      <c r="M7" s="37" t="s">
        <v>306</v>
      </c>
      <c r="N7" s="657"/>
      <c r="O7" s="36" t="s">
        <v>305</v>
      </c>
      <c r="P7" s="37" t="s">
        <v>306</v>
      </c>
      <c r="Q7" s="654"/>
      <c r="R7" s="654"/>
    </row>
    <row r="8" spans="1:18" ht="22.5" customHeight="1">
      <c r="A8" s="42" t="s">
        <v>310</v>
      </c>
      <c r="B8" s="40" t="s">
        <v>247</v>
      </c>
      <c r="C8" s="81"/>
      <c r="D8" s="39"/>
      <c r="E8" s="81"/>
      <c r="F8" s="81"/>
      <c r="G8" s="40">
        <f aca="true" t="shared" si="0" ref="G8:P8">SUM(G11)</f>
        <v>234043.8</v>
      </c>
      <c r="H8" s="132">
        <f t="shared" si="0"/>
        <v>231703.4</v>
      </c>
      <c r="I8" s="40">
        <f t="shared" si="0"/>
        <v>2340.4</v>
      </c>
      <c r="J8" s="132">
        <f t="shared" si="0"/>
        <v>11000</v>
      </c>
      <c r="K8" s="40">
        <f t="shared" si="0"/>
        <v>0</v>
      </c>
      <c r="L8" s="132">
        <f t="shared" si="0"/>
        <v>0</v>
      </c>
      <c r="M8" s="40">
        <f t="shared" si="0"/>
        <v>0</v>
      </c>
      <c r="N8" s="40">
        <f t="shared" si="0"/>
        <v>0</v>
      </c>
      <c r="O8" s="132">
        <f t="shared" si="0"/>
        <v>0</v>
      </c>
      <c r="P8" s="40">
        <f t="shared" si="0"/>
        <v>0</v>
      </c>
      <c r="Q8" s="39">
        <f>L8/J8*100</f>
        <v>0</v>
      </c>
      <c r="R8" s="39">
        <v>0</v>
      </c>
    </row>
    <row r="9" spans="1:18" s="278" customFormat="1" ht="14.25" customHeight="1">
      <c r="A9" s="281" t="s">
        <v>110</v>
      </c>
      <c r="B9" s="284"/>
      <c r="C9" s="283"/>
      <c r="D9" s="284"/>
      <c r="E9" s="283"/>
      <c r="F9" s="283"/>
      <c r="G9" s="327"/>
      <c r="H9" s="328"/>
      <c r="I9" s="327"/>
      <c r="J9" s="328"/>
      <c r="K9" s="327"/>
      <c r="L9" s="328">
        <f>L17+L59</f>
        <v>0</v>
      </c>
      <c r="M9" s="327">
        <f>M17+M59</f>
        <v>0</v>
      </c>
      <c r="N9" s="284"/>
      <c r="O9" s="328">
        <f>O17+O59</f>
        <v>0</v>
      </c>
      <c r="P9" s="327">
        <f>P17+P59</f>
        <v>0</v>
      </c>
      <c r="Q9" s="284"/>
      <c r="R9" s="284"/>
    </row>
    <row r="10" spans="1:18" s="149" customFormat="1" ht="15.75" customHeight="1">
      <c r="A10" s="287" t="s">
        <v>111</v>
      </c>
      <c r="B10" s="290"/>
      <c r="C10" s="289"/>
      <c r="D10" s="290"/>
      <c r="E10" s="289"/>
      <c r="F10" s="289"/>
      <c r="G10" s="329"/>
      <c r="H10" s="330"/>
      <c r="I10" s="329"/>
      <c r="J10" s="330"/>
      <c r="K10" s="329"/>
      <c r="L10" s="330">
        <f>L18+L43+L47+L52</f>
        <v>0</v>
      </c>
      <c r="M10" s="329">
        <f>M18+M43+M47+M52</f>
        <v>0</v>
      </c>
      <c r="N10" s="290"/>
      <c r="O10" s="330">
        <f>O18+O43+O47+O52</f>
        <v>658.1</v>
      </c>
      <c r="P10" s="329">
        <f>P18+P43+P47+P52</f>
        <v>20.4</v>
      </c>
      <c r="Q10" s="290"/>
      <c r="R10" s="290"/>
    </row>
    <row r="11" spans="1:18" ht="40.5">
      <c r="A11" s="79" t="s">
        <v>230</v>
      </c>
      <c r="B11" s="41" t="s">
        <v>247</v>
      </c>
      <c r="C11" s="80" t="s">
        <v>231</v>
      </c>
      <c r="D11" s="39"/>
      <c r="E11" s="81"/>
      <c r="F11" s="81"/>
      <c r="G11" s="39">
        <f>H11+I11</f>
        <v>234043.8</v>
      </c>
      <c r="H11" s="130">
        <f>H12+H28+H38</f>
        <v>231703.4</v>
      </c>
      <c r="I11" s="110">
        <f>I12+I28+I38</f>
        <v>2340.4</v>
      </c>
      <c r="J11" s="130">
        <f>J14+J40</f>
        <v>11000</v>
      </c>
      <c r="K11" s="39">
        <f>L11+M11</f>
        <v>0</v>
      </c>
      <c r="L11" s="130">
        <f>L14+L40</f>
        <v>0</v>
      </c>
      <c r="M11" s="39">
        <f>M14+M40</f>
        <v>0</v>
      </c>
      <c r="N11" s="39">
        <f>O11+P11</f>
        <v>0</v>
      </c>
      <c r="O11" s="130">
        <f>O14+O40</f>
        <v>0</v>
      </c>
      <c r="P11" s="39">
        <f>P14+P40</f>
        <v>0</v>
      </c>
      <c r="Q11" s="39">
        <v>0</v>
      </c>
      <c r="R11" s="39">
        <v>0</v>
      </c>
    </row>
    <row r="12" spans="1:18" ht="12.75">
      <c r="A12" s="41" t="s">
        <v>279</v>
      </c>
      <c r="B12" s="60" t="s">
        <v>247</v>
      </c>
      <c r="C12" s="80" t="s">
        <v>231</v>
      </c>
      <c r="D12" s="82" t="s">
        <v>271</v>
      </c>
      <c r="E12" s="331"/>
      <c r="F12" s="331"/>
      <c r="G12" s="39">
        <f aca="true" t="shared" si="1" ref="G12:P14">G13</f>
        <v>120393.69999999998</v>
      </c>
      <c r="H12" s="130">
        <f t="shared" si="1"/>
        <v>119189.79999999999</v>
      </c>
      <c r="I12" s="39">
        <f t="shared" si="1"/>
        <v>1203.9</v>
      </c>
      <c r="J12" s="130">
        <f t="shared" si="1"/>
        <v>0</v>
      </c>
      <c r="K12" s="39">
        <f t="shared" si="1"/>
        <v>0</v>
      </c>
      <c r="L12" s="130">
        <f t="shared" si="1"/>
        <v>0</v>
      </c>
      <c r="M12" s="39">
        <f t="shared" si="1"/>
        <v>0</v>
      </c>
      <c r="N12" s="39">
        <f t="shared" si="1"/>
        <v>0</v>
      </c>
      <c r="O12" s="130">
        <f t="shared" si="1"/>
        <v>0</v>
      </c>
      <c r="P12" s="39">
        <f t="shared" si="1"/>
        <v>0</v>
      </c>
      <c r="Q12" s="39"/>
      <c r="R12" s="39"/>
    </row>
    <row r="13" spans="1:18" ht="12.75">
      <c r="A13" s="41" t="s">
        <v>325</v>
      </c>
      <c r="B13" s="60" t="s">
        <v>247</v>
      </c>
      <c r="C13" s="80" t="s">
        <v>231</v>
      </c>
      <c r="D13" s="82" t="s">
        <v>271</v>
      </c>
      <c r="E13" s="82" t="s">
        <v>253</v>
      </c>
      <c r="F13" s="331"/>
      <c r="G13" s="39">
        <f t="shared" si="1"/>
        <v>120393.69999999998</v>
      </c>
      <c r="H13" s="130">
        <f t="shared" si="1"/>
        <v>119189.79999999999</v>
      </c>
      <c r="I13" s="39">
        <f t="shared" si="1"/>
        <v>1203.9</v>
      </c>
      <c r="J13" s="130">
        <f t="shared" si="1"/>
        <v>0</v>
      </c>
      <c r="K13" s="39">
        <f t="shared" si="1"/>
        <v>0</v>
      </c>
      <c r="L13" s="130">
        <f t="shared" si="1"/>
        <v>0</v>
      </c>
      <c r="M13" s="39">
        <f t="shared" si="1"/>
        <v>0</v>
      </c>
      <c r="N13" s="39">
        <f t="shared" si="1"/>
        <v>0</v>
      </c>
      <c r="O13" s="130">
        <f t="shared" si="1"/>
        <v>0</v>
      </c>
      <c r="P13" s="39">
        <f t="shared" si="1"/>
        <v>0</v>
      </c>
      <c r="Q13" s="39"/>
      <c r="R13" s="39"/>
    </row>
    <row r="14" spans="1:18" ht="12.75">
      <c r="A14" s="41" t="s">
        <v>240</v>
      </c>
      <c r="B14" s="60" t="s">
        <v>247</v>
      </c>
      <c r="C14" s="80" t="s">
        <v>231</v>
      </c>
      <c r="D14" s="82" t="s">
        <v>271</v>
      </c>
      <c r="E14" s="82" t="s">
        <v>253</v>
      </c>
      <c r="F14" s="82" t="s">
        <v>241</v>
      </c>
      <c r="G14" s="39">
        <f t="shared" si="1"/>
        <v>120393.69999999998</v>
      </c>
      <c r="H14" s="130">
        <f t="shared" si="1"/>
        <v>119189.79999999999</v>
      </c>
      <c r="I14" s="39">
        <f t="shared" si="1"/>
        <v>1203.9</v>
      </c>
      <c r="J14" s="130">
        <f t="shared" si="1"/>
        <v>0</v>
      </c>
      <c r="K14" s="39">
        <f t="shared" si="1"/>
        <v>0</v>
      </c>
      <c r="L14" s="130">
        <f t="shared" si="1"/>
        <v>0</v>
      </c>
      <c r="M14" s="39">
        <f t="shared" si="1"/>
        <v>0</v>
      </c>
      <c r="N14" s="39">
        <f t="shared" si="1"/>
        <v>0</v>
      </c>
      <c r="O14" s="130">
        <f t="shared" si="1"/>
        <v>0</v>
      </c>
      <c r="P14" s="39">
        <f t="shared" si="1"/>
        <v>0</v>
      </c>
      <c r="Q14" s="39"/>
      <c r="R14" s="39"/>
    </row>
    <row r="15" spans="1:18" ht="12.75">
      <c r="A15" s="41" t="s">
        <v>245</v>
      </c>
      <c r="B15" s="60" t="s">
        <v>247</v>
      </c>
      <c r="C15" s="80" t="s">
        <v>231</v>
      </c>
      <c r="D15" s="82" t="s">
        <v>271</v>
      </c>
      <c r="E15" s="82" t="s">
        <v>253</v>
      </c>
      <c r="F15" s="82" t="s">
        <v>241</v>
      </c>
      <c r="G15" s="39">
        <f>H15+I15</f>
        <v>120393.69999999998</v>
      </c>
      <c r="H15" s="130">
        <f>H16+H19+H20+H21+H22+H23+H24+H25+H26</f>
        <v>119189.79999999999</v>
      </c>
      <c r="I15" s="110">
        <f>I16+I19+I20+I21+I22+I23+I24+I25+I26</f>
        <v>1203.9</v>
      </c>
      <c r="J15" s="130">
        <f>J16+J19+J20+J21+J22+J23+J24+J25+J26</f>
        <v>0</v>
      </c>
      <c r="K15" s="39">
        <f>L15+M15</f>
        <v>0</v>
      </c>
      <c r="L15" s="130">
        <f>L16+L19+L20+L21+L22+L23+L24+L25+L26</f>
        <v>0</v>
      </c>
      <c r="M15" s="39">
        <f>M16+M19+M20+M21+M22+M23+M24+M25+M26</f>
        <v>0</v>
      </c>
      <c r="N15" s="39">
        <f>O15+P15</f>
        <v>0</v>
      </c>
      <c r="O15" s="130">
        <f>O16+O19+O20+O21+O22+O23+O24+O25+O26</f>
        <v>0</v>
      </c>
      <c r="P15" s="39">
        <f>P16+P19+P20+P21+P22+P23+P24+P25+P26</f>
        <v>0</v>
      </c>
      <c r="Q15" s="39"/>
      <c r="R15" s="39"/>
    </row>
    <row r="16" spans="1:19" ht="24" customHeight="1">
      <c r="A16" s="667" t="s">
        <v>109</v>
      </c>
      <c r="B16" s="60"/>
      <c r="C16" s="80"/>
      <c r="D16" s="82"/>
      <c r="E16" s="82"/>
      <c r="F16" s="82"/>
      <c r="G16" s="39"/>
      <c r="H16" s="134">
        <v>14450</v>
      </c>
      <c r="I16" s="111">
        <v>146</v>
      </c>
      <c r="J16" s="134">
        <v>0</v>
      </c>
      <c r="K16" s="111"/>
      <c r="L16" s="134">
        <v>0</v>
      </c>
      <c r="M16" s="111">
        <v>0</v>
      </c>
      <c r="N16" s="111"/>
      <c r="O16" s="134">
        <v>0</v>
      </c>
      <c r="P16" s="111">
        <v>0</v>
      </c>
      <c r="Q16" s="115"/>
      <c r="R16" s="115"/>
      <c r="S16" s="322"/>
    </row>
    <row r="17" spans="1:19" s="278" customFormat="1" ht="15" customHeight="1">
      <c r="A17" s="667"/>
      <c r="B17" s="282"/>
      <c r="C17" s="332"/>
      <c r="D17" s="333"/>
      <c r="E17" s="333"/>
      <c r="F17" s="333"/>
      <c r="G17" s="284"/>
      <c r="H17" s="334"/>
      <c r="I17" s="335"/>
      <c r="J17" s="334"/>
      <c r="K17" s="335"/>
      <c r="L17" s="334">
        <v>0</v>
      </c>
      <c r="M17" s="335">
        <v>0</v>
      </c>
      <c r="N17" s="335"/>
      <c r="O17" s="334">
        <v>0</v>
      </c>
      <c r="P17" s="335">
        <v>0</v>
      </c>
      <c r="Q17" s="335"/>
      <c r="R17" s="335"/>
      <c r="S17" s="323"/>
    </row>
    <row r="18" spans="1:20" s="278" customFormat="1" ht="15" customHeight="1">
      <c r="A18" s="667"/>
      <c r="B18" s="288"/>
      <c r="C18" s="336"/>
      <c r="D18" s="337"/>
      <c r="E18" s="337"/>
      <c r="F18" s="337"/>
      <c r="G18" s="290"/>
      <c r="H18" s="338"/>
      <c r="I18" s="339"/>
      <c r="J18" s="338"/>
      <c r="K18" s="339"/>
      <c r="L18" s="338">
        <v>0</v>
      </c>
      <c r="M18" s="339">
        <v>0</v>
      </c>
      <c r="N18" s="339"/>
      <c r="O18" s="338">
        <v>0</v>
      </c>
      <c r="P18" s="339">
        <v>0</v>
      </c>
      <c r="Q18" s="339"/>
      <c r="R18" s="339"/>
      <c r="S18" s="324"/>
      <c r="T18" s="149"/>
    </row>
    <row r="19" spans="1:18" ht="24">
      <c r="A19" s="340" t="s">
        <v>61</v>
      </c>
      <c r="B19" s="341"/>
      <c r="C19" s="342"/>
      <c r="D19" s="343"/>
      <c r="E19" s="343"/>
      <c r="F19" s="344"/>
      <c r="G19" s="115"/>
      <c r="H19" s="134">
        <f>23751.2+489.7</f>
        <v>24240.9</v>
      </c>
      <c r="I19" s="111">
        <v>244.9</v>
      </c>
      <c r="J19" s="134">
        <v>0</v>
      </c>
      <c r="K19" s="111"/>
      <c r="L19" s="134">
        <v>0</v>
      </c>
      <c r="M19" s="111">
        <v>0</v>
      </c>
      <c r="N19" s="111"/>
      <c r="O19" s="134">
        <v>0</v>
      </c>
      <c r="P19" s="111">
        <v>0</v>
      </c>
      <c r="Q19" s="115"/>
      <c r="R19" s="115"/>
    </row>
    <row r="20" spans="1:18" ht="24">
      <c r="A20" s="340" t="s">
        <v>62</v>
      </c>
      <c r="B20" s="341"/>
      <c r="C20" s="342"/>
      <c r="D20" s="343"/>
      <c r="E20" s="343"/>
      <c r="F20" s="344"/>
      <c r="G20" s="115"/>
      <c r="H20" s="134">
        <f>27249.2+561.9</f>
        <v>27811.100000000002</v>
      </c>
      <c r="I20" s="111">
        <v>280.9</v>
      </c>
      <c r="J20" s="134">
        <v>0</v>
      </c>
      <c r="K20" s="111"/>
      <c r="L20" s="134">
        <v>0</v>
      </c>
      <c r="M20" s="111">
        <v>0</v>
      </c>
      <c r="N20" s="111"/>
      <c r="O20" s="134">
        <v>0</v>
      </c>
      <c r="P20" s="111">
        <v>0</v>
      </c>
      <c r="Q20" s="115"/>
      <c r="R20" s="115"/>
    </row>
    <row r="21" spans="1:18" ht="26.25" customHeight="1">
      <c r="A21" s="345" t="s">
        <v>63</v>
      </c>
      <c r="B21" s="341"/>
      <c r="C21" s="342"/>
      <c r="D21" s="343"/>
      <c r="E21" s="343"/>
      <c r="F21" s="344"/>
      <c r="G21" s="115"/>
      <c r="H21" s="134">
        <f>24956-23471</f>
        <v>1485</v>
      </c>
      <c r="I21" s="111">
        <v>15</v>
      </c>
      <c r="J21" s="134">
        <v>0</v>
      </c>
      <c r="K21" s="111"/>
      <c r="L21" s="134">
        <v>0</v>
      </c>
      <c r="M21" s="111">
        <v>0</v>
      </c>
      <c r="N21" s="111"/>
      <c r="O21" s="134">
        <v>0</v>
      </c>
      <c r="P21" s="111">
        <v>0</v>
      </c>
      <c r="Q21" s="115"/>
      <c r="R21" s="115"/>
    </row>
    <row r="22" spans="1:18" ht="24">
      <c r="A22" s="346" t="s">
        <v>64</v>
      </c>
      <c r="B22" s="341"/>
      <c r="C22" s="342"/>
      <c r="D22" s="343"/>
      <c r="E22" s="343"/>
      <c r="F22" s="344"/>
      <c r="G22" s="115"/>
      <c r="H22" s="134">
        <f>29358.9-29295.8</f>
        <v>63.10000000000218</v>
      </c>
      <c r="I22" s="111">
        <v>0.6</v>
      </c>
      <c r="J22" s="134">
        <v>0</v>
      </c>
      <c r="K22" s="111"/>
      <c r="L22" s="134">
        <v>0</v>
      </c>
      <c r="M22" s="111">
        <v>0</v>
      </c>
      <c r="N22" s="111"/>
      <c r="O22" s="134">
        <v>0</v>
      </c>
      <c r="P22" s="111">
        <v>0</v>
      </c>
      <c r="Q22" s="115"/>
      <c r="R22" s="115"/>
    </row>
    <row r="23" spans="1:18" ht="36">
      <c r="A23" s="340" t="s">
        <v>65</v>
      </c>
      <c r="B23" s="341"/>
      <c r="C23" s="342"/>
      <c r="D23" s="343"/>
      <c r="E23" s="343"/>
      <c r="F23" s="344"/>
      <c r="G23" s="115"/>
      <c r="H23" s="134">
        <f>35678.7+735.6</f>
        <v>36414.299999999996</v>
      </c>
      <c r="I23" s="111">
        <v>367.8</v>
      </c>
      <c r="J23" s="134">
        <v>0</v>
      </c>
      <c r="K23" s="111"/>
      <c r="L23" s="134">
        <v>0</v>
      </c>
      <c r="M23" s="111">
        <v>0</v>
      </c>
      <c r="N23" s="111"/>
      <c r="O23" s="134">
        <v>0</v>
      </c>
      <c r="P23" s="111">
        <v>0</v>
      </c>
      <c r="Q23" s="115"/>
      <c r="R23" s="115"/>
    </row>
    <row r="24" spans="1:18" s="29" customFormat="1" ht="48">
      <c r="A24" s="348" t="s">
        <v>74</v>
      </c>
      <c r="B24" s="560"/>
      <c r="C24" s="561"/>
      <c r="D24" s="562"/>
      <c r="E24" s="562"/>
      <c r="F24" s="565"/>
      <c r="G24" s="563"/>
      <c r="H24" s="564">
        <v>2910.1</v>
      </c>
      <c r="I24" s="563">
        <v>29.4</v>
      </c>
      <c r="J24" s="564">
        <v>0</v>
      </c>
      <c r="K24" s="563"/>
      <c r="L24" s="564">
        <v>0</v>
      </c>
      <c r="M24" s="563">
        <v>0</v>
      </c>
      <c r="N24" s="563"/>
      <c r="O24" s="564">
        <v>0</v>
      </c>
      <c r="P24" s="563">
        <v>0</v>
      </c>
      <c r="Q24" s="563"/>
      <c r="R24" s="563"/>
    </row>
    <row r="25" spans="1:18" s="29" customFormat="1" ht="36">
      <c r="A25" s="348" t="s">
        <v>75</v>
      </c>
      <c r="B25" s="560"/>
      <c r="C25" s="561"/>
      <c r="D25" s="562"/>
      <c r="E25" s="562"/>
      <c r="F25" s="565"/>
      <c r="G25" s="563"/>
      <c r="H25" s="564">
        <v>1102.9</v>
      </c>
      <c r="I25" s="563">
        <v>11.1</v>
      </c>
      <c r="J25" s="564">
        <v>0</v>
      </c>
      <c r="K25" s="563"/>
      <c r="L25" s="564">
        <v>0</v>
      </c>
      <c r="M25" s="563">
        <v>0</v>
      </c>
      <c r="N25" s="563"/>
      <c r="O25" s="564">
        <v>0</v>
      </c>
      <c r="P25" s="563">
        <v>0</v>
      </c>
      <c r="Q25" s="563"/>
      <c r="R25" s="563"/>
    </row>
    <row r="26" spans="1:18" s="29" customFormat="1" ht="12.75">
      <c r="A26" s="348" t="s">
        <v>73</v>
      </c>
      <c r="B26" s="560"/>
      <c r="C26" s="561"/>
      <c r="D26" s="562"/>
      <c r="E26" s="562"/>
      <c r="F26" s="565"/>
      <c r="G26" s="563"/>
      <c r="H26" s="564">
        <f>H27</f>
        <v>10712.4</v>
      </c>
      <c r="I26" s="563">
        <f>I27</f>
        <v>108.2</v>
      </c>
      <c r="J26" s="564">
        <f>J27</f>
        <v>0</v>
      </c>
      <c r="K26" s="563"/>
      <c r="L26" s="564">
        <f>L27</f>
        <v>0</v>
      </c>
      <c r="M26" s="563">
        <f>M27</f>
        <v>0</v>
      </c>
      <c r="N26" s="563"/>
      <c r="O26" s="564">
        <f>O27</f>
        <v>0</v>
      </c>
      <c r="P26" s="563">
        <f>P27</f>
        <v>0</v>
      </c>
      <c r="Q26" s="563"/>
      <c r="R26" s="563"/>
    </row>
    <row r="27" spans="1:18" s="29" customFormat="1" ht="12.75">
      <c r="A27" s="569" t="s">
        <v>86</v>
      </c>
      <c r="B27" s="560"/>
      <c r="C27" s="561"/>
      <c r="D27" s="562"/>
      <c r="E27" s="562"/>
      <c r="F27" s="565"/>
      <c r="G27" s="563"/>
      <c r="H27" s="384">
        <v>10712.4</v>
      </c>
      <c r="I27" s="381">
        <v>108.2</v>
      </c>
      <c r="J27" s="384">
        <v>0</v>
      </c>
      <c r="K27" s="381"/>
      <c r="L27" s="384">
        <v>0</v>
      </c>
      <c r="M27" s="381">
        <v>0</v>
      </c>
      <c r="N27" s="381"/>
      <c r="O27" s="384">
        <v>0</v>
      </c>
      <c r="P27" s="381">
        <v>0</v>
      </c>
      <c r="Q27" s="381"/>
      <c r="R27" s="381"/>
    </row>
    <row r="28" spans="1:18" ht="12.75">
      <c r="A28" s="566" t="s">
        <v>76</v>
      </c>
      <c r="B28" s="60" t="s">
        <v>247</v>
      </c>
      <c r="C28" s="80" t="s">
        <v>231</v>
      </c>
      <c r="D28" s="82" t="s">
        <v>77</v>
      </c>
      <c r="E28" s="82"/>
      <c r="F28" s="567"/>
      <c r="G28" s="39">
        <f>H28+I28</f>
        <v>6432.4</v>
      </c>
      <c r="H28" s="130">
        <f>H29+H34</f>
        <v>6368</v>
      </c>
      <c r="I28" s="39">
        <f>I29+I34</f>
        <v>64.4</v>
      </c>
      <c r="J28" s="130">
        <f>J29+J34</f>
        <v>0</v>
      </c>
      <c r="K28" s="39">
        <f>L28+M28</f>
        <v>0</v>
      </c>
      <c r="L28" s="130">
        <f>L29+L34</f>
        <v>0</v>
      </c>
      <c r="M28" s="39">
        <f>M29+M34</f>
        <v>0</v>
      </c>
      <c r="N28" s="39">
        <f>O28+P28</f>
        <v>0</v>
      </c>
      <c r="O28" s="130">
        <f>O29+O34</f>
        <v>0</v>
      </c>
      <c r="P28" s="39">
        <f>P29+P34</f>
        <v>0</v>
      </c>
      <c r="Q28" s="39"/>
      <c r="R28" s="39"/>
    </row>
    <row r="29" spans="1:18" ht="12.75">
      <c r="A29" s="566" t="s">
        <v>78</v>
      </c>
      <c r="B29" s="60" t="s">
        <v>247</v>
      </c>
      <c r="C29" s="80" t="s">
        <v>231</v>
      </c>
      <c r="D29" s="82" t="s">
        <v>77</v>
      </c>
      <c r="E29" s="82" t="s">
        <v>250</v>
      </c>
      <c r="F29" s="567"/>
      <c r="G29" s="39">
        <f aca="true" t="shared" si="2" ref="G29:P30">G30</f>
        <v>2456.7</v>
      </c>
      <c r="H29" s="130">
        <f t="shared" si="2"/>
        <v>2432.1</v>
      </c>
      <c r="I29" s="39">
        <f t="shared" si="2"/>
        <v>24.6</v>
      </c>
      <c r="J29" s="130">
        <f t="shared" si="2"/>
        <v>0</v>
      </c>
      <c r="K29" s="39">
        <f t="shared" si="2"/>
        <v>0</v>
      </c>
      <c r="L29" s="130">
        <f t="shared" si="2"/>
        <v>0</v>
      </c>
      <c r="M29" s="39">
        <f t="shared" si="2"/>
        <v>0</v>
      </c>
      <c r="N29" s="39">
        <f t="shared" si="2"/>
        <v>0</v>
      </c>
      <c r="O29" s="130">
        <f t="shared" si="2"/>
        <v>0</v>
      </c>
      <c r="P29" s="39">
        <f t="shared" si="2"/>
        <v>0</v>
      </c>
      <c r="Q29" s="39"/>
      <c r="R29" s="39"/>
    </row>
    <row r="30" spans="1:18" ht="12.75">
      <c r="A30" s="41" t="s">
        <v>240</v>
      </c>
      <c r="B30" s="60" t="s">
        <v>247</v>
      </c>
      <c r="C30" s="80" t="s">
        <v>231</v>
      </c>
      <c r="D30" s="82" t="s">
        <v>77</v>
      </c>
      <c r="E30" s="82" t="s">
        <v>250</v>
      </c>
      <c r="F30" s="82" t="s">
        <v>241</v>
      </c>
      <c r="G30" s="39">
        <f t="shared" si="2"/>
        <v>2456.7</v>
      </c>
      <c r="H30" s="130">
        <f t="shared" si="2"/>
        <v>2432.1</v>
      </c>
      <c r="I30" s="39">
        <f t="shared" si="2"/>
        <v>24.6</v>
      </c>
      <c r="J30" s="130">
        <f t="shared" si="2"/>
        <v>0</v>
      </c>
      <c r="K30" s="39">
        <f t="shared" si="2"/>
        <v>0</v>
      </c>
      <c r="L30" s="130">
        <f t="shared" si="2"/>
        <v>0</v>
      </c>
      <c r="M30" s="39">
        <f t="shared" si="2"/>
        <v>0</v>
      </c>
      <c r="N30" s="39">
        <f t="shared" si="2"/>
        <v>0</v>
      </c>
      <c r="O30" s="130">
        <f t="shared" si="2"/>
        <v>0</v>
      </c>
      <c r="P30" s="39">
        <f t="shared" si="2"/>
        <v>0</v>
      </c>
      <c r="Q30" s="39"/>
      <c r="R30" s="39"/>
    </row>
    <row r="31" spans="1:18" ht="12.75">
      <c r="A31" s="41" t="s">
        <v>245</v>
      </c>
      <c r="B31" s="60" t="s">
        <v>247</v>
      </c>
      <c r="C31" s="80" t="s">
        <v>231</v>
      </c>
      <c r="D31" s="82" t="s">
        <v>77</v>
      </c>
      <c r="E31" s="82" t="s">
        <v>250</v>
      </c>
      <c r="F31" s="82" t="s">
        <v>241</v>
      </c>
      <c r="G31" s="39">
        <f>H31+I31</f>
        <v>2456.7</v>
      </c>
      <c r="H31" s="130">
        <f>H32+H33</f>
        <v>2432.1</v>
      </c>
      <c r="I31" s="39">
        <f>I32+I33</f>
        <v>24.6</v>
      </c>
      <c r="J31" s="130">
        <f>J32+J33</f>
        <v>0</v>
      </c>
      <c r="K31" s="39">
        <f>L31+M31</f>
        <v>0</v>
      </c>
      <c r="L31" s="130">
        <f>L32+L33</f>
        <v>0</v>
      </c>
      <c r="M31" s="39">
        <f>M32+M33</f>
        <v>0</v>
      </c>
      <c r="N31" s="39">
        <f>O31+P31</f>
        <v>0</v>
      </c>
      <c r="O31" s="130">
        <f>O32+O33</f>
        <v>0</v>
      </c>
      <c r="P31" s="39">
        <f>P32+P33</f>
        <v>0</v>
      </c>
      <c r="Q31" s="39"/>
      <c r="R31" s="39"/>
    </row>
    <row r="32" spans="1:18" s="568" customFormat="1" ht="36">
      <c r="A32" s="348" t="s">
        <v>80</v>
      </c>
      <c r="B32" s="560" t="s">
        <v>79</v>
      </c>
      <c r="C32" s="561"/>
      <c r="D32" s="562"/>
      <c r="E32" s="562"/>
      <c r="F32" s="565"/>
      <c r="G32" s="563"/>
      <c r="H32" s="564">
        <v>887.9</v>
      </c>
      <c r="I32" s="563">
        <v>9</v>
      </c>
      <c r="J32" s="564">
        <v>0</v>
      </c>
      <c r="K32" s="563"/>
      <c r="L32" s="564">
        <v>0</v>
      </c>
      <c r="M32" s="563">
        <v>0</v>
      </c>
      <c r="N32" s="563"/>
      <c r="O32" s="564">
        <v>0</v>
      </c>
      <c r="P32" s="563">
        <v>0</v>
      </c>
      <c r="Q32" s="563"/>
      <c r="R32" s="563"/>
    </row>
    <row r="33" spans="1:18" s="568" customFormat="1" ht="24.75" customHeight="1">
      <c r="A33" s="348" t="s">
        <v>81</v>
      </c>
      <c r="B33" s="560"/>
      <c r="C33" s="561"/>
      <c r="D33" s="562"/>
      <c r="E33" s="562"/>
      <c r="F33" s="565"/>
      <c r="G33" s="563"/>
      <c r="H33" s="564">
        <v>1544.2</v>
      </c>
      <c r="I33" s="563">
        <v>15.6</v>
      </c>
      <c r="J33" s="564">
        <v>0</v>
      </c>
      <c r="K33" s="563"/>
      <c r="L33" s="564">
        <v>0</v>
      </c>
      <c r="M33" s="563">
        <v>0</v>
      </c>
      <c r="N33" s="563"/>
      <c r="O33" s="564">
        <v>0</v>
      </c>
      <c r="P33" s="563">
        <v>0</v>
      </c>
      <c r="Q33" s="563"/>
      <c r="R33" s="563"/>
    </row>
    <row r="34" spans="1:18" ht="12.75">
      <c r="A34" s="566" t="s">
        <v>82</v>
      </c>
      <c r="B34" s="60" t="s">
        <v>247</v>
      </c>
      <c r="C34" s="80" t="s">
        <v>231</v>
      </c>
      <c r="D34" s="82" t="s">
        <v>77</v>
      </c>
      <c r="E34" s="82" t="s">
        <v>256</v>
      </c>
      <c r="F34" s="567"/>
      <c r="G34" s="39">
        <f aca="true" t="shared" si="3" ref="G34:P35">G35</f>
        <v>3975.7000000000003</v>
      </c>
      <c r="H34" s="130">
        <f t="shared" si="3"/>
        <v>3935.9</v>
      </c>
      <c r="I34" s="39">
        <f t="shared" si="3"/>
        <v>39.8</v>
      </c>
      <c r="J34" s="130">
        <f t="shared" si="3"/>
        <v>0</v>
      </c>
      <c r="K34" s="39">
        <f t="shared" si="3"/>
        <v>0</v>
      </c>
      <c r="L34" s="130">
        <f t="shared" si="3"/>
        <v>0</v>
      </c>
      <c r="M34" s="39">
        <f t="shared" si="3"/>
        <v>0</v>
      </c>
      <c r="N34" s="39">
        <f t="shared" si="3"/>
        <v>0</v>
      </c>
      <c r="O34" s="130">
        <f t="shared" si="3"/>
        <v>0</v>
      </c>
      <c r="P34" s="39">
        <f t="shared" si="3"/>
        <v>0</v>
      </c>
      <c r="Q34" s="39"/>
      <c r="R34" s="39"/>
    </row>
    <row r="35" spans="1:18" ht="12.75">
      <c r="A35" s="41" t="s">
        <v>240</v>
      </c>
      <c r="B35" s="60" t="s">
        <v>247</v>
      </c>
      <c r="C35" s="80" t="s">
        <v>231</v>
      </c>
      <c r="D35" s="82" t="s">
        <v>77</v>
      </c>
      <c r="E35" s="82" t="s">
        <v>256</v>
      </c>
      <c r="F35" s="82" t="s">
        <v>241</v>
      </c>
      <c r="G35" s="39">
        <f t="shared" si="3"/>
        <v>3975.7000000000003</v>
      </c>
      <c r="H35" s="130">
        <f t="shared" si="3"/>
        <v>3935.9</v>
      </c>
      <c r="I35" s="39">
        <f t="shared" si="3"/>
        <v>39.8</v>
      </c>
      <c r="J35" s="130">
        <f t="shared" si="3"/>
        <v>0</v>
      </c>
      <c r="K35" s="39">
        <f t="shared" si="3"/>
        <v>0</v>
      </c>
      <c r="L35" s="130">
        <f t="shared" si="3"/>
        <v>0</v>
      </c>
      <c r="M35" s="39">
        <f t="shared" si="3"/>
        <v>0</v>
      </c>
      <c r="N35" s="39">
        <f t="shared" si="3"/>
        <v>0</v>
      </c>
      <c r="O35" s="130">
        <f t="shared" si="3"/>
        <v>0</v>
      </c>
      <c r="P35" s="39">
        <f t="shared" si="3"/>
        <v>0</v>
      </c>
      <c r="Q35" s="39"/>
      <c r="R35" s="39"/>
    </row>
    <row r="36" spans="1:18" ht="12.75">
      <c r="A36" s="41" t="s">
        <v>245</v>
      </c>
      <c r="B36" s="60" t="s">
        <v>247</v>
      </c>
      <c r="C36" s="80" t="s">
        <v>231</v>
      </c>
      <c r="D36" s="82" t="s">
        <v>77</v>
      </c>
      <c r="E36" s="82" t="s">
        <v>256</v>
      </c>
      <c r="F36" s="82" t="s">
        <v>241</v>
      </c>
      <c r="G36" s="39">
        <f>H36+I36</f>
        <v>3975.7000000000003</v>
      </c>
      <c r="H36" s="130">
        <f>H37</f>
        <v>3935.9</v>
      </c>
      <c r="I36" s="39">
        <f>I37</f>
        <v>39.8</v>
      </c>
      <c r="J36" s="130">
        <f>J37</f>
        <v>0</v>
      </c>
      <c r="K36" s="39">
        <f>L36+M36</f>
        <v>0</v>
      </c>
      <c r="L36" s="130">
        <f>L37</f>
        <v>0</v>
      </c>
      <c r="M36" s="39">
        <f>M37</f>
        <v>0</v>
      </c>
      <c r="N36" s="39">
        <f>O36+P36</f>
        <v>0</v>
      </c>
      <c r="O36" s="130">
        <f>O37</f>
        <v>0</v>
      </c>
      <c r="P36" s="39">
        <f>P37</f>
        <v>0</v>
      </c>
      <c r="Q36" s="39"/>
      <c r="R36" s="39"/>
    </row>
    <row r="37" spans="1:18" s="568" customFormat="1" ht="36">
      <c r="A37" s="348" t="s">
        <v>83</v>
      </c>
      <c r="B37" s="560"/>
      <c r="C37" s="561"/>
      <c r="D37" s="562"/>
      <c r="E37" s="562"/>
      <c r="F37" s="565"/>
      <c r="G37" s="563"/>
      <c r="H37" s="564">
        <v>3935.9</v>
      </c>
      <c r="I37" s="563">
        <v>39.8</v>
      </c>
      <c r="J37" s="564">
        <v>0</v>
      </c>
      <c r="K37" s="563"/>
      <c r="L37" s="564">
        <v>0</v>
      </c>
      <c r="M37" s="563">
        <v>0</v>
      </c>
      <c r="N37" s="563"/>
      <c r="O37" s="564">
        <v>0</v>
      </c>
      <c r="P37" s="563">
        <v>0</v>
      </c>
      <c r="Q37" s="563"/>
      <c r="R37" s="563"/>
    </row>
    <row r="38" spans="1:18" ht="38.25">
      <c r="A38" s="41" t="s">
        <v>243</v>
      </c>
      <c r="B38" s="60" t="s">
        <v>247</v>
      </c>
      <c r="C38" s="80" t="s">
        <v>231</v>
      </c>
      <c r="D38" s="86">
        <v>14</v>
      </c>
      <c r="E38" s="82"/>
      <c r="F38" s="82"/>
      <c r="G38" s="39">
        <f>G39</f>
        <v>107217.70000000001</v>
      </c>
      <c r="H38" s="130">
        <f aca="true" t="shared" si="4" ref="H38:I40">H39</f>
        <v>106145.6</v>
      </c>
      <c r="I38" s="39">
        <f t="shared" si="4"/>
        <v>1072.1</v>
      </c>
      <c r="J38" s="130">
        <f aca="true" t="shared" si="5" ref="J38:M40">J39</f>
        <v>11000</v>
      </c>
      <c r="K38" s="39">
        <f t="shared" si="5"/>
        <v>0</v>
      </c>
      <c r="L38" s="130">
        <f t="shared" si="5"/>
        <v>0</v>
      </c>
      <c r="M38" s="39">
        <f t="shared" si="5"/>
        <v>0</v>
      </c>
      <c r="N38" s="39">
        <f aca="true" t="shared" si="6" ref="N38:P40">N39</f>
        <v>0</v>
      </c>
      <c r="O38" s="130">
        <f t="shared" si="6"/>
        <v>0</v>
      </c>
      <c r="P38" s="39">
        <f t="shared" si="6"/>
        <v>0</v>
      </c>
      <c r="Q38" s="39"/>
      <c r="R38" s="39"/>
    </row>
    <row r="39" spans="1:18" ht="25.5">
      <c r="A39" s="41" t="s">
        <v>244</v>
      </c>
      <c r="B39" s="60" t="s">
        <v>247</v>
      </c>
      <c r="C39" s="80" t="s">
        <v>231</v>
      </c>
      <c r="D39" s="86">
        <v>14</v>
      </c>
      <c r="E39" s="82" t="s">
        <v>237</v>
      </c>
      <c r="F39" s="82"/>
      <c r="G39" s="39">
        <f>G40</f>
        <v>107217.70000000001</v>
      </c>
      <c r="H39" s="130">
        <f t="shared" si="4"/>
        <v>106145.6</v>
      </c>
      <c r="I39" s="39">
        <f t="shared" si="4"/>
        <v>1072.1</v>
      </c>
      <c r="J39" s="130">
        <f t="shared" si="5"/>
        <v>11000</v>
      </c>
      <c r="K39" s="39">
        <f t="shared" si="5"/>
        <v>0</v>
      </c>
      <c r="L39" s="130">
        <f t="shared" si="5"/>
        <v>0</v>
      </c>
      <c r="M39" s="39">
        <f t="shared" si="5"/>
        <v>0</v>
      </c>
      <c r="N39" s="39">
        <f t="shared" si="6"/>
        <v>0</v>
      </c>
      <c r="O39" s="130">
        <f t="shared" si="6"/>
        <v>0</v>
      </c>
      <c r="P39" s="39">
        <f t="shared" si="6"/>
        <v>0</v>
      </c>
      <c r="Q39" s="39"/>
      <c r="R39" s="39"/>
    </row>
    <row r="40" spans="1:18" ht="12.75">
      <c r="A40" s="41" t="s">
        <v>240</v>
      </c>
      <c r="B40" s="60" t="s">
        <v>247</v>
      </c>
      <c r="C40" s="80" t="s">
        <v>231</v>
      </c>
      <c r="D40" s="86">
        <v>14</v>
      </c>
      <c r="E40" s="82" t="s">
        <v>237</v>
      </c>
      <c r="F40" s="82" t="s">
        <v>241</v>
      </c>
      <c r="G40" s="39">
        <f>G41</f>
        <v>107217.70000000001</v>
      </c>
      <c r="H40" s="130">
        <f>H41</f>
        <v>106145.6</v>
      </c>
      <c r="I40" s="39">
        <f t="shared" si="4"/>
        <v>1072.1</v>
      </c>
      <c r="J40" s="130">
        <f t="shared" si="5"/>
        <v>11000</v>
      </c>
      <c r="K40" s="39">
        <f t="shared" si="5"/>
        <v>0</v>
      </c>
      <c r="L40" s="130">
        <f t="shared" si="5"/>
        <v>0</v>
      </c>
      <c r="M40" s="39">
        <f t="shared" si="5"/>
        <v>0</v>
      </c>
      <c r="N40" s="39">
        <f t="shared" si="6"/>
        <v>0</v>
      </c>
      <c r="O40" s="130">
        <f>O41</f>
        <v>0</v>
      </c>
      <c r="P40" s="39">
        <f>P41</f>
        <v>0</v>
      </c>
      <c r="Q40" s="39">
        <v>0</v>
      </c>
      <c r="R40" s="39">
        <v>0</v>
      </c>
    </row>
    <row r="41" spans="1:18" ht="12.75">
      <c r="A41" s="41" t="s">
        <v>245</v>
      </c>
      <c r="B41" s="60" t="s">
        <v>247</v>
      </c>
      <c r="C41" s="80" t="s">
        <v>231</v>
      </c>
      <c r="D41" s="86">
        <v>14</v>
      </c>
      <c r="E41" s="82" t="s">
        <v>237</v>
      </c>
      <c r="F41" s="82" t="s">
        <v>241</v>
      </c>
      <c r="G41" s="39">
        <f>SUM(H41+I41)</f>
        <v>107217.70000000001</v>
      </c>
      <c r="H41" s="130">
        <f>H42+H44</f>
        <v>106145.6</v>
      </c>
      <c r="I41" s="110">
        <f>I42+I44</f>
        <v>1072.1</v>
      </c>
      <c r="J41" s="130">
        <f>J42+J44</f>
        <v>11000</v>
      </c>
      <c r="K41" s="39">
        <f>SUM(L41+M41)</f>
        <v>0</v>
      </c>
      <c r="L41" s="130">
        <f>L42+L44</f>
        <v>0</v>
      </c>
      <c r="M41" s="110">
        <f>M42+M44</f>
        <v>0</v>
      </c>
      <c r="N41" s="39">
        <f>SUM(O41+P41)</f>
        <v>0</v>
      </c>
      <c r="O41" s="130">
        <f>O42+O44</f>
        <v>0</v>
      </c>
      <c r="P41" s="110">
        <f>P42+P44</f>
        <v>0</v>
      </c>
      <c r="Q41" s="39">
        <v>0</v>
      </c>
      <c r="R41" s="39">
        <v>0</v>
      </c>
    </row>
    <row r="42" spans="1:18" ht="24" customHeight="1">
      <c r="A42" s="655" t="s">
        <v>70</v>
      </c>
      <c r="B42" s="60"/>
      <c r="C42" s="80"/>
      <c r="D42" s="86"/>
      <c r="E42" s="82"/>
      <c r="F42" s="82"/>
      <c r="G42" s="111"/>
      <c r="H42" s="134">
        <f>1062.1-342.2</f>
        <v>719.8999999999999</v>
      </c>
      <c r="I42" s="111">
        <v>7.3</v>
      </c>
      <c r="J42" s="134">
        <v>0</v>
      </c>
      <c r="K42" s="111"/>
      <c r="L42" s="134">
        <v>0</v>
      </c>
      <c r="M42" s="111">
        <v>0</v>
      </c>
      <c r="N42" s="111"/>
      <c r="O42" s="134">
        <v>0</v>
      </c>
      <c r="P42" s="111">
        <v>0</v>
      </c>
      <c r="Q42" s="111"/>
      <c r="R42" s="111"/>
    </row>
    <row r="43" spans="1:19" ht="12.75">
      <c r="A43" s="655"/>
      <c r="B43" s="282"/>
      <c r="C43" s="332"/>
      <c r="D43" s="347"/>
      <c r="E43" s="333"/>
      <c r="F43" s="333"/>
      <c r="G43" s="335"/>
      <c r="H43" s="334"/>
      <c r="I43" s="335"/>
      <c r="J43" s="334"/>
      <c r="K43" s="335"/>
      <c r="L43" s="338">
        <v>0</v>
      </c>
      <c r="M43" s="339">
        <v>0</v>
      </c>
      <c r="N43" s="339"/>
      <c r="O43" s="338">
        <v>0</v>
      </c>
      <c r="P43" s="339">
        <v>0</v>
      </c>
      <c r="Q43" s="335"/>
      <c r="R43" s="335"/>
      <c r="S43" s="278"/>
    </row>
    <row r="44" spans="1:18" ht="12.75">
      <c r="A44" s="348" t="s">
        <v>73</v>
      </c>
      <c r="B44" s="60"/>
      <c r="C44" s="80"/>
      <c r="D44" s="86"/>
      <c r="E44" s="82"/>
      <c r="F44" s="82"/>
      <c r="G44" s="111"/>
      <c r="H44" s="134">
        <f>H45+H46+H48+H49+H50+H51</f>
        <v>105425.70000000001</v>
      </c>
      <c r="I44" s="111">
        <f>I45+I46+I48+I49+I50+I51</f>
        <v>1064.8</v>
      </c>
      <c r="J44" s="134">
        <f>J45+J46+J48+J49+J50+J51</f>
        <v>11000</v>
      </c>
      <c r="K44" s="111"/>
      <c r="L44" s="134">
        <f>L45+L46+L48+L49+L50+L51</f>
        <v>0</v>
      </c>
      <c r="M44" s="111">
        <f>M45+M46+M48+M49+M50+M51</f>
        <v>0</v>
      </c>
      <c r="N44" s="111"/>
      <c r="O44" s="134">
        <f>O45+O46+O48+O49+O50+O51</f>
        <v>0</v>
      </c>
      <c r="P44" s="111">
        <f>P45+P46+P48+P49+P50+P51</f>
        <v>0</v>
      </c>
      <c r="Q44" s="111"/>
      <c r="R44" s="111"/>
    </row>
    <row r="45" spans="1:18" s="23" customFormat="1" ht="12.75" customHeight="1">
      <c r="A45" s="349" t="s">
        <v>204</v>
      </c>
      <c r="B45" s="350"/>
      <c r="C45" s="269"/>
      <c r="D45" s="351"/>
      <c r="E45" s="217"/>
      <c r="F45" s="217"/>
      <c r="G45" s="121"/>
      <c r="H45" s="133">
        <f>1940+16131.4</f>
        <v>18071.4</v>
      </c>
      <c r="I45" s="121">
        <v>182.5</v>
      </c>
      <c r="J45" s="133">
        <v>0</v>
      </c>
      <c r="K45" s="121"/>
      <c r="L45" s="133">
        <v>0</v>
      </c>
      <c r="M45" s="121">
        <v>0</v>
      </c>
      <c r="N45" s="121"/>
      <c r="O45" s="133">
        <v>0</v>
      </c>
      <c r="P45" s="121">
        <v>0</v>
      </c>
      <c r="Q45" s="121"/>
      <c r="R45" s="121"/>
    </row>
    <row r="46" spans="1:18" s="23" customFormat="1" ht="14.25" customHeight="1">
      <c r="A46" s="666" t="s">
        <v>69</v>
      </c>
      <c r="B46" s="350"/>
      <c r="C46" s="269"/>
      <c r="D46" s="351"/>
      <c r="E46" s="217"/>
      <c r="F46" s="217"/>
      <c r="G46" s="121"/>
      <c r="H46" s="133">
        <f>1940+18675.4</f>
        <v>20615.4</v>
      </c>
      <c r="I46" s="121">
        <v>208.2</v>
      </c>
      <c r="J46" s="133">
        <v>0</v>
      </c>
      <c r="K46" s="121"/>
      <c r="L46" s="133">
        <v>0</v>
      </c>
      <c r="M46" s="121">
        <v>0</v>
      </c>
      <c r="N46" s="121"/>
      <c r="O46" s="133">
        <v>0</v>
      </c>
      <c r="P46" s="121">
        <v>0</v>
      </c>
      <c r="Q46" s="121"/>
      <c r="R46" s="121"/>
    </row>
    <row r="47" spans="1:19" s="23" customFormat="1" ht="12.75" customHeight="1">
      <c r="A47" s="666"/>
      <c r="B47" s="352"/>
      <c r="C47" s="353"/>
      <c r="D47" s="354"/>
      <c r="E47" s="355"/>
      <c r="F47" s="355"/>
      <c r="G47" s="356"/>
      <c r="H47" s="357"/>
      <c r="I47" s="356"/>
      <c r="J47" s="357"/>
      <c r="K47" s="356"/>
      <c r="L47" s="357">
        <v>0</v>
      </c>
      <c r="M47" s="356">
        <v>0</v>
      </c>
      <c r="N47" s="356"/>
      <c r="O47" s="357">
        <v>0</v>
      </c>
      <c r="P47" s="356">
        <v>0</v>
      </c>
      <c r="Q47" s="356"/>
      <c r="R47" s="356"/>
      <c r="S47" s="26"/>
    </row>
    <row r="48" spans="1:18" s="23" customFormat="1" ht="23.25" customHeight="1">
      <c r="A48" s="349" t="s">
        <v>203</v>
      </c>
      <c r="B48" s="350"/>
      <c r="C48" s="269"/>
      <c r="D48" s="351"/>
      <c r="E48" s="217"/>
      <c r="F48" s="217"/>
      <c r="G48" s="121"/>
      <c r="H48" s="133">
        <f>1940+25422</f>
        <v>27362</v>
      </c>
      <c r="I48" s="121">
        <v>276.4</v>
      </c>
      <c r="J48" s="133">
        <v>0</v>
      </c>
      <c r="K48" s="121"/>
      <c r="L48" s="133">
        <v>0</v>
      </c>
      <c r="M48" s="121">
        <v>0</v>
      </c>
      <c r="N48" s="121"/>
      <c r="O48" s="133">
        <v>0</v>
      </c>
      <c r="P48" s="121">
        <v>0</v>
      </c>
      <c r="Q48" s="121"/>
      <c r="R48" s="121"/>
    </row>
    <row r="49" spans="1:18" s="23" customFormat="1" ht="33.75">
      <c r="A49" s="358" t="s">
        <v>66</v>
      </c>
      <c r="B49" s="350"/>
      <c r="C49" s="269"/>
      <c r="D49" s="351"/>
      <c r="E49" s="217"/>
      <c r="F49" s="217"/>
      <c r="G49" s="121"/>
      <c r="H49" s="133">
        <v>11000</v>
      </c>
      <c r="I49" s="121">
        <v>111.1</v>
      </c>
      <c r="J49" s="133">
        <v>11000</v>
      </c>
      <c r="K49" s="121"/>
      <c r="L49" s="133">
        <v>0</v>
      </c>
      <c r="M49" s="121">
        <v>0</v>
      </c>
      <c r="N49" s="121"/>
      <c r="O49" s="133">
        <v>0</v>
      </c>
      <c r="P49" s="121">
        <v>0</v>
      </c>
      <c r="Q49" s="121"/>
      <c r="R49" s="121"/>
    </row>
    <row r="50" spans="1:18" s="23" customFormat="1" ht="22.5">
      <c r="A50" s="358" t="s">
        <v>84</v>
      </c>
      <c r="B50" s="350"/>
      <c r="C50" s="269"/>
      <c r="D50" s="351"/>
      <c r="E50" s="217"/>
      <c r="F50" s="217"/>
      <c r="G50" s="121"/>
      <c r="H50" s="133">
        <v>17031.4</v>
      </c>
      <c r="I50" s="121">
        <v>172</v>
      </c>
      <c r="J50" s="133">
        <v>0</v>
      </c>
      <c r="K50" s="121"/>
      <c r="L50" s="133">
        <v>0</v>
      </c>
      <c r="M50" s="121">
        <v>0</v>
      </c>
      <c r="N50" s="121"/>
      <c r="O50" s="133">
        <v>0</v>
      </c>
      <c r="P50" s="121">
        <v>0</v>
      </c>
      <c r="Q50" s="121"/>
      <c r="R50" s="121"/>
    </row>
    <row r="51" spans="1:18" s="23" customFormat="1" ht="22.5">
      <c r="A51" s="358" t="s">
        <v>85</v>
      </c>
      <c r="B51" s="350"/>
      <c r="C51" s="269"/>
      <c r="D51" s="351"/>
      <c r="E51" s="217"/>
      <c r="F51" s="217"/>
      <c r="G51" s="121"/>
      <c r="H51" s="133">
        <v>11345.5</v>
      </c>
      <c r="I51" s="121">
        <v>114.6</v>
      </c>
      <c r="J51" s="133">
        <v>0</v>
      </c>
      <c r="K51" s="121"/>
      <c r="L51" s="133">
        <v>0</v>
      </c>
      <c r="M51" s="121">
        <v>0</v>
      </c>
      <c r="N51" s="121"/>
      <c r="O51" s="133">
        <v>0</v>
      </c>
      <c r="P51" s="121">
        <v>0</v>
      </c>
      <c r="Q51" s="121"/>
      <c r="R51" s="121"/>
    </row>
    <row r="52" spans="1:18" s="26" customFormat="1" ht="12.75">
      <c r="A52" s="287" t="s">
        <v>68</v>
      </c>
      <c r="B52" s="352"/>
      <c r="C52" s="353"/>
      <c r="D52" s="354"/>
      <c r="E52" s="355"/>
      <c r="F52" s="355"/>
      <c r="G52" s="356"/>
      <c r="H52" s="357"/>
      <c r="I52" s="356"/>
      <c r="J52" s="357"/>
      <c r="K52" s="356"/>
      <c r="L52" s="357">
        <f>L53+L54+L55+L56+L57+L58</f>
        <v>0</v>
      </c>
      <c r="M52" s="356">
        <f>M53+M54+M55+M56+M57+M58</f>
        <v>0</v>
      </c>
      <c r="N52" s="356"/>
      <c r="O52" s="357">
        <f>O53+O54+O55+O56+O57+O58</f>
        <v>658.1</v>
      </c>
      <c r="P52" s="356">
        <f>P53+P54+P55+P56+P57+P58</f>
        <v>20.4</v>
      </c>
      <c r="Q52" s="356"/>
      <c r="R52" s="356"/>
    </row>
    <row r="53" spans="1:18" s="324" customFormat="1" ht="12">
      <c r="A53" s="359" t="s">
        <v>207</v>
      </c>
      <c r="B53" s="360"/>
      <c r="C53" s="361"/>
      <c r="D53" s="362"/>
      <c r="E53" s="363"/>
      <c r="F53" s="363"/>
      <c r="G53" s="339"/>
      <c r="H53" s="338"/>
      <c r="I53" s="339"/>
      <c r="J53" s="338"/>
      <c r="K53" s="339"/>
      <c r="L53" s="357">
        <v>0</v>
      </c>
      <c r="M53" s="356">
        <v>0</v>
      </c>
      <c r="N53" s="356"/>
      <c r="O53" s="357">
        <v>0</v>
      </c>
      <c r="P53" s="356">
        <v>0</v>
      </c>
      <c r="Q53" s="339"/>
      <c r="R53" s="339"/>
    </row>
    <row r="54" spans="1:18" s="324" customFormat="1" ht="12">
      <c r="A54" s="359" t="s">
        <v>202</v>
      </c>
      <c r="B54" s="360"/>
      <c r="C54" s="361"/>
      <c r="D54" s="362"/>
      <c r="E54" s="363"/>
      <c r="F54" s="363"/>
      <c r="G54" s="339"/>
      <c r="H54" s="338"/>
      <c r="I54" s="339"/>
      <c r="J54" s="338"/>
      <c r="K54" s="339"/>
      <c r="L54" s="357">
        <v>0</v>
      </c>
      <c r="M54" s="356">
        <v>0</v>
      </c>
      <c r="N54" s="356"/>
      <c r="O54" s="357">
        <v>0</v>
      </c>
      <c r="P54" s="356">
        <v>0</v>
      </c>
      <c r="Q54" s="339"/>
      <c r="R54" s="339"/>
    </row>
    <row r="55" spans="1:18" s="324" customFormat="1" ht="24">
      <c r="A55" s="359" t="s">
        <v>208</v>
      </c>
      <c r="B55" s="360"/>
      <c r="C55" s="361"/>
      <c r="D55" s="362"/>
      <c r="E55" s="363"/>
      <c r="F55" s="363"/>
      <c r="G55" s="339"/>
      <c r="H55" s="338"/>
      <c r="I55" s="339"/>
      <c r="J55" s="338"/>
      <c r="K55" s="339"/>
      <c r="L55" s="357">
        <v>0</v>
      </c>
      <c r="M55" s="356">
        <v>0</v>
      </c>
      <c r="N55" s="356"/>
      <c r="O55" s="357">
        <v>0</v>
      </c>
      <c r="P55" s="356">
        <v>0</v>
      </c>
      <c r="Q55" s="339"/>
      <c r="R55" s="339"/>
    </row>
    <row r="56" spans="1:18" s="324" customFormat="1" ht="24">
      <c r="A56" s="359" t="s">
        <v>209</v>
      </c>
      <c r="B56" s="360"/>
      <c r="C56" s="361"/>
      <c r="D56" s="362"/>
      <c r="E56" s="363"/>
      <c r="F56" s="363"/>
      <c r="G56" s="339"/>
      <c r="H56" s="338"/>
      <c r="I56" s="339"/>
      <c r="J56" s="338"/>
      <c r="K56" s="339"/>
      <c r="L56" s="357">
        <v>0</v>
      </c>
      <c r="M56" s="356">
        <v>0</v>
      </c>
      <c r="N56" s="356"/>
      <c r="O56" s="357">
        <v>0</v>
      </c>
      <c r="P56" s="356">
        <v>0</v>
      </c>
      <c r="Q56" s="339"/>
      <c r="R56" s="339"/>
    </row>
    <row r="57" spans="1:18" s="324" customFormat="1" ht="36">
      <c r="A57" s="359" t="s">
        <v>206</v>
      </c>
      <c r="B57" s="360"/>
      <c r="C57" s="361"/>
      <c r="D57" s="362"/>
      <c r="E57" s="363"/>
      <c r="F57" s="363"/>
      <c r="G57" s="339"/>
      <c r="H57" s="338"/>
      <c r="I57" s="339"/>
      <c r="J57" s="338"/>
      <c r="K57" s="339"/>
      <c r="L57" s="357">
        <v>0</v>
      </c>
      <c r="M57" s="356">
        <v>0</v>
      </c>
      <c r="N57" s="356"/>
      <c r="O57" s="357">
        <v>658.1</v>
      </c>
      <c r="P57" s="356">
        <v>20.4</v>
      </c>
      <c r="Q57" s="339"/>
      <c r="R57" s="339"/>
    </row>
    <row r="58" spans="1:18" s="324" customFormat="1" ht="24">
      <c r="A58" s="359" t="s">
        <v>201</v>
      </c>
      <c r="B58" s="360"/>
      <c r="C58" s="361"/>
      <c r="D58" s="362"/>
      <c r="E58" s="363"/>
      <c r="F58" s="363"/>
      <c r="G58" s="339"/>
      <c r="H58" s="338"/>
      <c r="I58" s="339"/>
      <c r="J58" s="338"/>
      <c r="K58" s="339"/>
      <c r="L58" s="357">
        <v>0</v>
      </c>
      <c r="M58" s="356">
        <v>0</v>
      </c>
      <c r="N58" s="356"/>
      <c r="O58" s="357">
        <v>0</v>
      </c>
      <c r="P58" s="356">
        <v>0</v>
      </c>
      <c r="Q58" s="339"/>
      <c r="R58" s="339"/>
    </row>
    <row r="59" spans="1:19" s="325" customFormat="1" ht="12.75">
      <c r="A59" s="364" t="s">
        <v>67</v>
      </c>
      <c r="B59" s="365"/>
      <c r="C59" s="366"/>
      <c r="D59" s="367"/>
      <c r="E59" s="368"/>
      <c r="F59" s="368"/>
      <c r="G59" s="369"/>
      <c r="H59" s="370"/>
      <c r="I59" s="369"/>
      <c r="J59" s="370"/>
      <c r="K59" s="369"/>
      <c r="L59" s="334">
        <f>L60</f>
        <v>0</v>
      </c>
      <c r="M59" s="335">
        <f>M60</f>
        <v>0</v>
      </c>
      <c r="N59" s="335"/>
      <c r="O59" s="334">
        <f>O60</f>
        <v>0</v>
      </c>
      <c r="P59" s="335">
        <f>P60</f>
        <v>0</v>
      </c>
      <c r="Q59" s="335"/>
      <c r="R59" s="335"/>
      <c r="S59" s="323"/>
    </row>
    <row r="60" spans="1:18" s="326" customFormat="1" ht="25.5">
      <c r="A60" s="371" t="s">
        <v>135</v>
      </c>
      <c r="B60" s="372"/>
      <c r="C60" s="373"/>
      <c r="D60" s="374"/>
      <c r="E60" s="375"/>
      <c r="F60" s="375"/>
      <c r="G60" s="373"/>
      <c r="H60" s="376"/>
      <c r="I60" s="373"/>
      <c r="J60" s="376"/>
      <c r="K60" s="373"/>
      <c r="L60" s="376">
        <v>0</v>
      </c>
      <c r="M60" s="373">
        <v>0</v>
      </c>
      <c r="N60" s="373"/>
      <c r="O60" s="376">
        <v>0</v>
      </c>
      <c r="P60" s="373">
        <v>0</v>
      </c>
      <c r="Q60" s="373"/>
      <c r="R60" s="373"/>
    </row>
  </sheetData>
  <mergeCells count="17">
    <mergeCell ref="A46:A47"/>
    <mergeCell ref="A16:A18"/>
    <mergeCell ref="G6:G7"/>
    <mergeCell ref="K6:K7"/>
    <mergeCell ref="E5:E7"/>
    <mergeCell ref="F5:F7"/>
    <mergeCell ref="J5:J7"/>
    <mergeCell ref="R5:R7"/>
    <mergeCell ref="Q5:Q7"/>
    <mergeCell ref="A42:A43"/>
    <mergeCell ref="N6:N7"/>
    <mergeCell ref="O6:P6"/>
    <mergeCell ref="A5:A7"/>
    <mergeCell ref="B5:B7"/>
    <mergeCell ref="C5:C7"/>
    <mergeCell ref="N5:P5"/>
    <mergeCell ref="D5:D7"/>
  </mergeCells>
  <printOptions gridLines="1"/>
  <pageMargins left="0.1968503937007874" right="0" top="0.5905511811023623" bottom="0.1968503937007874" header="0.5118110236220472" footer="0.5118110236220472"/>
  <pageSetup fitToHeight="0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S42"/>
  <sheetViews>
    <sheetView zoomScale="120" zoomScaleNormal="12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1" sqref="K11"/>
    </sheetView>
  </sheetViews>
  <sheetFormatPr defaultColWidth="9.00390625" defaultRowHeight="12.75" outlineLevelCol="1"/>
  <cols>
    <col min="1" max="1" width="40.875" style="1" customWidth="1"/>
    <col min="2" max="2" width="9.875" style="1" customWidth="1"/>
    <col min="3" max="3" width="3.125" style="2" customWidth="1"/>
    <col min="4" max="4" width="3.25390625" style="1" customWidth="1"/>
    <col min="5" max="5" width="3.25390625" style="2" customWidth="1"/>
    <col min="6" max="6" width="3.375" style="2" customWidth="1"/>
    <col min="7" max="8" width="8.75390625" style="1" customWidth="1"/>
    <col min="9" max="9" width="8.625" style="1" customWidth="1"/>
    <col min="10" max="10" width="8.75390625" style="1" customWidth="1" outlineLevel="1"/>
    <col min="11" max="11" width="9.00390625" style="1" customWidth="1"/>
    <col min="12" max="12" width="8.625" style="1" customWidth="1"/>
    <col min="13" max="13" width="6.625" style="1" customWidth="1"/>
    <col min="14" max="14" width="9.625" style="1" customWidth="1"/>
    <col min="15" max="15" width="11.25390625" style="1" bestFit="1" customWidth="1"/>
    <col min="16" max="16" width="6.875" style="1" customWidth="1"/>
    <col min="17" max="17" width="5.125" style="1" customWidth="1"/>
    <col min="18" max="18" width="4.75390625" style="1" customWidth="1"/>
    <col min="19" max="19" width="9.125" style="1" customWidth="1"/>
    <col min="20" max="20" width="9.375" style="1" bestFit="1" customWidth="1"/>
    <col min="21" max="16384" width="9.125" style="1" customWidth="1"/>
  </cols>
  <sheetData>
    <row r="1" ht="14.25">
      <c r="H1" s="21" t="s">
        <v>307</v>
      </c>
    </row>
    <row r="2" ht="12.75">
      <c r="H2" s="18" t="s">
        <v>315</v>
      </c>
    </row>
    <row r="3" ht="14.25">
      <c r="H3" s="21" t="s">
        <v>176</v>
      </c>
    </row>
    <row r="4" ht="12.75">
      <c r="P4" s="125" t="s">
        <v>308</v>
      </c>
    </row>
    <row r="5" spans="1:18" s="13" customFormat="1" ht="11.25" customHeight="1">
      <c r="A5" s="660"/>
      <c r="B5" s="613" t="s">
        <v>213</v>
      </c>
      <c r="C5" s="613" t="s">
        <v>214</v>
      </c>
      <c r="D5" s="613" t="s">
        <v>215</v>
      </c>
      <c r="E5" s="613" t="s">
        <v>216</v>
      </c>
      <c r="F5" s="613" t="s">
        <v>218</v>
      </c>
      <c r="G5" s="33"/>
      <c r="H5" s="31" t="s">
        <v>300</v>
      </c>
      <c r="I5" s="32"/>
      <c r="J5" s="595" t="s">
        <v>170</v>
      </c>
      <c r="K5" s="33"/>
      <c r="L5" s="34" t="s">
        <v>301</v>
      </c>
      <c r="M5" s="32"/>
      <c r="N5" s="663" t="s">
        <v>302</v>
      </c>
      <c r="O5" s="664"/>
      <c r="P5" s="665"/>
      <c r="Q5" s="652" t="s">
        <v>339</v>
      </c>
      <c r="R5" s="652" t="s">
        <v>294</v>
      </c>
    </row>
    <row r="6" spans="1:18" s="13" customFormat="1" ht="11.25">
      <c r="A6" s="661"/>
      <c r="B6" s="614"/>
      <c r="C6" s="614"/>
      <c r="D6" s="614"/>
      <c r="E6" s="614"/>
      <c r="F6" s="614"/>
      <c r="G6" s="35"/>
      <c r="H6" s="33" t="s">
        <v>303</v>
      </c>
      <c r="I6" s="32"/>
      <c r="J6" s="596"/>
      <c r="K6" s="35"/>
      <c r="L6" s="33" t="s">
        <v>303</v>
      </c>
      <c r="M6" s="32"/>
      <c r="N6" s="35"/>
      <c r="O6" s="33" t="s">
        <v>303</v>
      </c>
      <c r="P6" s="32"/>
      <c r="Q6" s="653"/>
      <c r="R6" s="670"/>
    </row>
    <row r="7" spans="1:18" s="13" customFormat="1" ht="51.75" customHeight="1">
      <c r="A7" s="662"/>
      <c r="B7" s="615"/>
      <c r="C7" s="615"/>
      <c r="D7" s="615"/>
      <c r="E7" s="615"/>
      <c r="F7" s="615"/>
      <c r="G7" s="38" t="s">
        <v>304</v>
      </c>
      <c r="H7" s="36" t="s">
        <v>305</v>
      </c>
      <c r="I7" s="37" t="s">
        <v>306</v>
      </c>
      <c r="J7" s="597"/>
      <c r="K7" s="38" t="s">
        <v>304</v>
      </c>
      <c r="L7" s="36" t="s">
        <v>305</v>
      </c>
      <c r="M7" s="37" t="s">
        <v>306</v>
      </c>
      <c r="N7" s="38" t="s">
        <v>304</v>
      </c>
      <c r="O7" s="36" t="s">
        <v>305</v>
      </c>
      <c r="P7" s="37" t="s">
        <v>306</v>
      </c>
      <c r="Q7" s="654"/>
      <c r="R7" s="671"/>
    </row>
    <row r="8" spans="1:18" s="7" customFormat="1" ht="24" customHeight="1">
      <c r="A8" s="44" t="s">
        <v>310</v>
      </c>
      <c r="B8" s="90" t="s">
        <v>260</v>
      </c>
      <c r="C8" s="87"/>
      <c r="D8" s="40"/>
      <c r="E8" s="87"/>
      <c r="F8" s="87"/>
      <c r="G8" s="93">
        <f aca="true" t="shared" si="0" ref="G8:P8">G11</f>
        <v>402992.60000000003</v>
      </c>
      <c r="H8" s="280">
        <f t="shared" si="0"/>
        <v>390902.9</v>
      </c>
      <c r="I8" s="93">
        <f t="shared" si="0"/>
        <v>12089.699999999999</v>
      </c>
      <c r="J8" s="280">
        <f t="shared" si="0"/>
        <v>9694.699999999999</v>
      </c>
      <c r="K8" s="93">
        <f t="shared" si="0"/>
        <v>89.9</v>
      </c>
      <c r="L8" s="280">
        <f t="shared" si="0"/>
        <v>87.2</v>
      </c>
      <c r="M8" s="93">
        <f t="shared" si="0"/>
        <v>2.7</v>
      </c>
      <c r="N8" s="93">
        <f>N11</f>
        <v>89.9</v>
      </c>
      <c r="O8" s="280">
        <f t="shared" si="0"/>
        <v>87.2</v>
      </c>
      <c r="P8" s="93">
        <f t="shared" si="0"/>
        <v>2.7</v>
      </c>
      <c r="Q8" s="40">
        <f>SUM(L8/J8)*100</f>
        <v>0.8994605299802987</v>
      </c>
      <c r="R8" s="118">
        <f>N8/K8*100</f>
        <v>100</v>
      </c>
    </row>
    <row r="9" spans="1:18" s="278" customFormat="1" ht="15.75" customHeight="1">
      <c r="A9" s="281" t="s">
        <v>473</v>
      </c>
      <c r="B9" s="282"/>
      <c r="C9" s="283"/>
      <c r="D9" s="284"/>
      <c r="E9" s="283"/>
      <c r="F9" s="283"/>
      <c r="G9" s="285"/>
      <c r="H9" s="286"/>
      <c r="I9" s="285"/>
      <c r="J9" s="286"/>
      <c r="K9" s="285"/>
      <c r="L9" s="286"/>
      <c r="M9" s="285"/>
      <c r="N9" s="285">
        <f>O9+P9</f>
        <v>672.2</v>
      </c>
      <c r="O9" s="286">
        <f>O29</f>
        <v>652</v>
      </c>
      <c r="P9" s="285">
        <f>P29</f>
        <v>20.2</v>
      </c>
      <c r="Q9" s="284"/>
      <c r="R9" s="284"/>
    </row>
    <row r="10" spans="1:18" s="149" customFormat="1" ht="15.75" customHeight="1">
      <c r="A10" s="287" t="s">
        <v>472</v>
      </c>
      <c r="B10" s="288"/>
      <c r="C10" s="289"/>
      <c r="D10" s="290"/>
      <c r="E10" s="289"/>
      <c r="F10" s="289"/>
      <c r="G10" s="291"/>
      <c r="H10" s="292"/>
      <c r="I10" s="291"/>
      <c r="J10" s="292"/>
      <c r="K10" s="291"/>
      <c r="L10" s="292"/>
      <c r="M10" s="291"/>
      <c r="N10" s="291">
        <f>O10+P10</f>
        <v>19345.5</v>
      </c>
      <c r="O10" s="292">
        <f>O17+O19+O21+O34+O39</f>
        <v>18765.1</v>
      </c>
      <c r="P10" s="584">
        <f>P17+P19+P21+P34+P39</f>
        <v>580.4</v>
      </c>
      <c r="Q10" s="290"/>
      <c r="R10" s="290"/>
    </row>
    <row r="11" spans="1:18" ht="40.5">
      <c r="A11" s="79" t="s">
        <v>230</v>
      </c>
      <c r="B11" s="60" t="s">
        <v>260</v>
      </c>
      <c r="C11" s="80" t="s">
        <v>231</v>
      </c>
      <c r="D11" s="80"/>
      <c r="E11" s="82"/>
      <c r="F11" s="82"/>
      <c r="G11" s="91">
        <f aca="true" t="shared" si="1" ref="G11:I13">G12</f>
        <v>402992.60000000003</v>
      </c>
      <c r="H11" s="293">
        <f>H12</f>
        <v>390902.9</v>
      </c>
      <c r="I11" s="91">
        <f t="shared" si="1"/>
        <v>12089.699999999999</v>
      </c>
      <c r="J11" s="293">
        <f aca="true" t="shared" si="2" ref="J11:M13">J12</f>
        <v>9694.699999999999</v>
      </c>
      <c r="K11" s="91">
        <f t="shared" si="2"/>
        <v>89.9</v>
      </c>
      <c r="L11" s="293">
        <f t="shared" si="2"/>
        <v>87.2</v>
      </c>
      <c r="M11" s="91">
        <f t="shared" si="2"/>
        <v>2.7</v>
      </c>
      <c r="N11" s="91">
        <f aca="true" t="shared" si="3" ref="N11:P13">N12</f>
        <v>89.9</v>
      </c>
      <c r="O11" s="293">
        <f t="shared" si="3"/>
        <v>87.2</v>
      </c>
      <c r="P11" s="91">
        <f t="shared" si="3"/>
        <v>2.7</v>
      </c>
      <c r="Q11" s="39">
        <f>SUM(L11/J11)*100</f>
        <v>0.8994605299802987</v>
      </c>
      <c r="R11" s="585">
        <f>N11/K11*100</f>
        <v>100</v>
      </c>
    </row>
    <row r="12" spans="1:18" ht="12.75">
      <c r="A12" s="39" t="s">
        <v>264</v>
      </c>
      <c r="B12" s="60" t="s">
        <v>260</v>
      </c>
      <c r="C12" s="80" t="s">
        <v>231</v>
      </c>
      <c r="D12" s="82" t="s">
        <v>263</v>
      </c>
      <c r="E12" s="82"/>
      <c r="F12" s="82"/>
      <c r="G12" s="91">
        <f t="shared" si="1"/>
        <v>402992.60000000003</v>
      </c>
      <c r="H12" s="293">
        <f>H13</f>
        <v>390902.9</v>
      </c>
      <c r="I12" s="91">
        <f t="shared" si="1"/>
        <v>12089.699999999999</v>
      </c>
      <c r="J12" s="293">
        <f t="shared" si="2"/>
        <v>9694.699999999999</v>
      </c>
      <c r="K12" s="91">
        <f t="shared" si="2"/>
        <v>89.9</v>
      </c>
      <c r="L12" s="293">
        <f t="shared" si="2"/>
        <v>87.2</v>
      </c>
      <c r="M12" s="91">
        <f t="shared" si="2"/>
        <v>2.7</v>
      </c>
      <c r="N12" s="91">
        <f t="shared" si="3"/>
        <v>89.9</v>
      </c>
      <c r="O12" s="293">
        <f t="shared" si="3"/>
        <v>87.2</v>
      </c>
      <c r="P12" s="91">
        <f t="shared" si="3"/>
        <v>2.7</v>
      </c>
      <c r="Q12" s="39"/>
      <c r="R12" s="39"/>
    </row>
    <row r="13" spans="1:18" ht="12.75">
      <c r="A13" s="39" t="s">
        <v>265</v>
      </c>
      <c r="B13" s="60" t="s">
        <v>260</v>
      </c>
      <c r="C13" s="80" t="s">
        <v>231</v>
      </c>
      <c r="D13" s="82" t="s">
        <v>263</v>
      </c>
      <c r="E13" s="82" t="s">
        <v>256</v>
      </c>
      <c r="F13" s="82"/>
      <c r="G13" s="91">
        <f t="shared" si="1"/>
        <v>402992.60000000003</v>
      </c>
      <c r="H13" s="293">
        <f>H14</f>
        <v>390902.9</v>
      </c>
      <c r="I13" s="91">
        <f t="shared" si="1"/>
        <v>12089.699999999999</v>
      </c>
      <c r="J13" s="293">
        <f t="shared" si="2"/>
        <v>9694.699999999999</v>
      </c>
      <c r="K13" s="91">
        <f t="shared" si="2"/>
        <v>89.9</v>
      </c>
      <c r="L13" s="293">
        <f t="shared" si="2"/>
        <v>87.2</v>
      </c>
      <c r="M13" s="91">
        <f t="shared" si="2"/>
        <v>2.7</v>
      </c>
      <c r="N13" s="91">
        <f t="shared" si="3"/>
        <v>89.9</v>
      </c>
      <c r="O13" s="293">
        <f t="shared" si="3"/>
        <v>87.2</v>
      </c>
      <c r="P13" s="91">
        <f t="shared" si="3"/>
        <v>2.7</v>
      </c>
      <c r="Q13" s="39"/>
      <c r="R13" s="39"/>
    </row>
    <row r="14" spans="1:18" ht="12.75">
      <c r="A14" s="41" t="s">
        <v>240</v>
      </c>
      <c r="B14" s="60" t="s">
        <v>260</v>
      </c>
      <c r="C14" s="80" t="s">
        <v>231</v>
      </c>
      <c r="D14" s="82" t="s">
        <v>263</v>
      </c>
      <c r="E14" s="82" t="s">
        <v>256</v>
      </c>
      <c r="F14" s="82" t="s">
        <v>241</v>
      </c>
      <c r="G14" s="39">
        <f aca="true" t="shared" si="4" ref="G14:L14">SUM(G15+G31)</f>
        <v>402992.60000000003</v>
      </c>
      <c r="H14" s="130">
        <f t="shared" si="4"/>
        <v>390902.9</v>
      </c>
      <c r="I14" s="39">
        <f>SUM(I15+I31)</f>
        <v>12089.699999999999</v>
      </c>
      <c r="J14" s="130">
        <f t="shared" si="4"/>
        <v>9694.699999999999</v>
      </c>
      <c r="K14" s="39">
        <f t="shared" si="4"/>
        <v>89.9</v>
      </c>
      <c r="L14" s="130">
        <f t="shared" si="4"/>
        <v>87.2</v>
      </c>
      <c r="M14" s="39">
        <f>SUM(M15+M31)</f>
        <v>2.7</v>
      </c>
      <c r="N14" s="39">
        <f>N15+N31</f>
        <v>89.9</v>
      </c>
      <c r="O14" s="130">
        <f>O15+O31</f>
        <v>87.2</v>
      </c>
      <c r="P14" s="39">
        <f>P15+P31</f>
        <v>2.7</v>
      </c>
      <c r="Q14" s="39"/>
      <c r="R14" s="39"/>
    </row>
    <row r="15" spans="1:18" s="29" customFormat="1" ht="25.5">
      <c r="A15" s="294" t="s">
        <v>136</v>
      </c>
      <c r="B15" s="295" t="s">
        <v>260</v>
      </c>
      <c r="C15" s="253" t="s">
        <v>231</v>
      </c>
      <c r="D15" s="254" t="s">
        <v>263</v>
      </c>
      <c r="E15" s="254" t="s">
        <v>256</v>
      </c>
      <c r="F15" s="254" t="s">
        <v>241</v>
      </c>
      <c r="G15" s="241">
        <f>SUM(H15+I15)</f>
        <v>297892.9</v>
      </c>
      <c r="H15" s="242">
        <f>H16+H18+H20+H22+H23+H24+H25+H26+H27+H28</f>
        <v>288956.2</v>
      </c>
      <c r="I15" s="296">
        <f>I16+I18+I20+I22+I23+I24+I25+I26+I27+I28</f>
        <v>8936.699999999999</v>
      </c>
      <c r="J15" s="242">
        <f>J16+J18+J20+J22+J23+J24+J25+J26+J27+J28</f>
        <v>9694.699999999999</v>
      </c>
      <c r="K15" s="241">
        <f>SUM(L15+M15)</f>
        <v>89.9</v>
      </c>
      <c r="L15" s="242">
        <f>L16+L18+L20+L22+L23+L24+L25+L26+L27+L28</f>
        <v>87.2</v>
      </c>
      <c r="M15" s="296">
        <f>M16+M18+M20+M22+M23+M24+M25+M26+M27+M28</f>
        <v>2.7</v>
      </c>
      <c r="N15" s="241">
        <f>SUM(O15+P15)</f>
        <v>89.9</v>
      </c>
      <c r="O15" s="242">
        <f>O16+O18+O20+O22+O23+O24+O25+O26+O27+O28</f>
        <v>87.2</v>
      </c>
      <c r="P15" s="296">
        <f>P16+P18+P20+P22+P23+P24+P25+P26+P27+P28</f>
        <v>2.7</v>
      </c>
      <c r="Q15" s="241">
        <f>SUM(L15/J15)*100</f>
        <v>0.8994605299802987</v>
      </c>
      <c r="R15" s="585">
        <f>N15/K15*100</f>
        <v>100</v>
      </c>
    </row>
    <row r="16" spans="1:18" s="29" customFormat="1" ht="38.25" customHeight="1">
      <c r="A16" s="668" t="s">
        <v>179</v>
      </c>
      <c r="B16" s="555"/>
      <c r="C16" s="240"/>
      <c r="D16" s="156"/>
      <c r="E16" s="156"/>
      <c r="F16" s="156"/>
      <c r="G16" s="112"/>
      <c r="H16" s="247">
        <f>246666.1-139042.1</f>
        <v>107624</v>
      </c>
      <c r="I16" s="112">
        <v>3328.6</v>
      </c>
      <c r="J16" s="247">
        <v>87.3</v>
      </c>
      <c r="K16" s="112"/>
      <c r="L16" s="247">
        <v>87.2</v>
      </c>
      <c r="M16" s="112">
        <v>2.7</v>
      </c>
      <c r="N16" s="112"/>
      <c r="O16" s="247">
        <v>87.2</v>
      </c>
      <c r="P16" s="112">
        <v>2.7</v>
      </c>
      <c r="Q16" s="112"/>
      <c r="R16" s="556"/>
    </row>
    <row r="17" spans="1:18" s="149" customFormat="1" ht="12.75">
      <c r="A17" s="669"/>
      <c r="B17" s="288"/>
      <c r="C17" s="336"/>
      <c r="D17" s="337"/>
      <c r="E17" s="337"/>
      <c r="F17" s="337"/>
      <c r="G17" s="290"/>
      <c r="H17" s="458"/>
      <c r="I17" s="290"/>
      <c r="J17" s="458"/>
      <c r="K17" s="290"/>
      <c r="L17" s="458">
        <v>0</v>
      </c>
      <c r="M17" s="290">
        <v>0</v>
      </c>
      <c r="N17" s="290">
        <f>O17+P17</f>
        <v>11109.199999999999</v>
      </c>
      <c r="O17" s="458">
        <v>10775.9</v>
      </c>
      <c r="P17" s="290">
        <v>333.3</v>
      </c>
      <c r="Q17" s="290"/>
      <c r="R17" s="557"/>
    </row>
    <row r="18" spans="1:18" s="29" customFormat="1" ht="25.5" customHeight="1">
      <c r="A18" s="668" t="s">
        <v>180</v>
      </c>
      <c r="B18" s="555"/>
      <c r="C18" s="240"/>
      <c r="D18" s="156"/>
      <c r="E18" s="156"/>
      <c r="F18" s="156"/>
      <c r="G18" s="112"/>
      <c r="H18" s="247">
        <f>70421.2+69</f>
        <v>70490.2</v>
      </c>
      <c r="I18" s="112">
        <v>2180.1</v>
      </c>
      <c r="J18" s="247">
        <v>9607.4</v>
      </c>
      <c r="K18" s="112"/>
      <c r="L18" s="247">
        <v>0</v>
      </c>
      <c r="M18" s="112">
        <v>0</v>
      </c>
      <c r="N18" s="112"/>
      <c r="O18" s="247">
        <v>0</v>
      </c>
      <c r="P18" s="112">
        <v>0</v>
      </c>
      <c r="Q18" s="112"/>
      <c r="R18" s="556"/>
    </row>
    <row r="19" spans="1:18" s="149" customFormat="1" ht="12.75">
      <c r="A19" s="669"/>
      <c r="B19" s="288"/>
      <c r="C19" s="336"/>
      <c r="D19" s="337"/>
      <c r="E19" s="337"/>
      <c r="F19" s="337"/>
      <c r="G19" s="290"/>
      <c r="H19" s="458"/>
      <c r="I19" s="290"/>
      <c r="J19" s="458"/>
      <c r="K19" s="290"/>
      <c r="L19" s="458">
        <v>0</v>
      </c>
      <c r="M19" s="290">
        <v>0</v>
      </c>
      <c r="N19" s="290">
        <f>O19+P19</f>
        <v>0</v>
      </c>
      <c r="O19" s="458">
        <v>0</v>
      </c>
      <c r="P19" s="290">
        <v>0</v>
      </c>
      <c r="Q19" s="290"/>
      <c r="R19" s="557"/>
    </row>
    <row r="20" spans="1:18" s="29" customFormat="1" ht="25.5" customHeight="1">
      <c r="A20" s="668" t="s">
        <v>181</v>
      </c>
      <c r="B20" s="555"/>
      <c r="C20" s="240"/>
      <c r="D20" s="156"/>
      <c r="E20" s="156"/>
      <c r="F20" s="156"/>
      <c r="G20" s="112"/>
      <c r="H20" s="247">
        <f>14550.9+171.9</f>
        <v>14722.8</v>
      </c>
      <c r="I20" s="112">
        <v>455.3</v>
      </c>
      <c r="J20" s="247">
        <v>0</v>
      </c>
      <c r="K20" s="112"/>
      <c r="L20" s="247">
        <v>0</v>
      </c>
      <c r="M20" s="112">
        <v>0</v>
      </c>
      <c r="N20" s="112"/>
      <c r="O20" s="247">
        <v>0</v>
      </c>
      <c r="P20" s="112">
        <v>0</v>
      </c>
      <c r="Q20" s="112"/>
      <c r="R20" s="556"/>
    </row>
    <row r="21" spans="1:19" s="29" customFormat="1" ht="12.75">
      <c r="A21" s="669"/>
      <c r="B21" s="555"/>
      <c r="C21" s="240"/>
      <c r="D21" s="156"/>
      <c r="E21" s="156"/>
      <c r="F21" s="156"/>
      <c r="G21" s="290"/>
      <c r="H21" s="458"/>
      <c r="I21" s="290"/>
      <c r="J21" s="458"/>
      <c r="K21" s="290"/>
      <c r="L21" s="458">
        <v>0</v>
      </c>
      <c r="M21" s="290">
        <v>0</v>
      </c>
      <c r="N21" s="290">
        <f>O21+P21</f>
        <v>16.8</v>
      </c>
      <c r="O21" s="458">
        <v>16.3</v>
      </c>
      <c r="P21" s="290">
        <v>0.5</v>
      </c>
      <c r="Q21" s="290"/>
      <c r="R21" s="557"/>
      <c r="S21" s="149"/>
    </row>
    <row r="22" spans="1:18" s="29" customFormat="1" ht="38.25">
      <c r="A22" s="243" t="s">
        <v>464</v>
      </c>
      <c r="B22" s="555"/>
      <c r="C22" s="240"/>
      <c r="D22" s="156"/>
      <c r="E22" s="156"/>
      <c r="F22" s="156"/>
      <c r="G22" s="112"/>
      <c r="H22" s="247">
        <v>5000</v>
      </c>
      <c r="I22" s="112">
        <v>154.6</v>
      </c>
      <c r="J22" s="247">
        <v>0</v>
      </c>
      <c r="K22" s="112"/>
      <c r="L22" s="247">
        <v>0</v>
      </c>
      <c r="M22" s="112">
        <v>0</v>
      </c>
      <c r="N22" s="112"/>
      <c r="O22" s="247">
        <v>0</v>
      </c>
      <c r="P22" s="112">
        <v>0</v>
      </c>
      <c r="Q22" s="112"/>
      <c r="R22" s="556"/>
    </row>
    <row r="23" spans="1:18" s="29" customFormat="1" ht="25.5">
      <c r="A23" s="243" t="s">
        <v>177</v>
      </c>
      <c r="B23" s="555"/>
      <c r="C23" s="240"/>
      <c r="D23" s="156"/>
      <c r="E23" s="156"/>
      <c r="F23" s="156"/>
      <c r="G23" s="112"/>
      <c r="H23" s="247">
        <v>3543</v>
      </c>
      <c r="I23" s="112">
        <v>109.6</v>
      </c>
      <c r="J23" s="247">
        <v>0</v>
      </c>
      <c r="K23" s="112"/>
      <c r="L23" s="247">
        <v>0</v>
      </c>
      <c r="M23" s="112">
        <v>0</v>
      </c>
      <c r="N23" s="112"/>
      <c r="O23" s="247">
        <v>0</v>
      </c>
      <c r="P23" s="112">
        <v>0</v>
      </c>
      <c r="Q23" s="112"/>
      <c r="R23" s="558"/>
    </row>
    <row r="24" spans="1:18" s="29" customFormat="1" ht="18.75" customHeight="1">
      <c r="A24" s="243" t="s">
        <v>178</v>
      </c>
      <c r="B24" s="555"/>
      <c r="C24" s="240"/>
      <c r="D24" s="156"/>
      <c r="E24" s="156"/>
      <c r="F24" s="156"/>
      <c r="G24" s="112"/>
      <c r="H24" s="247">
        <v>15000.3</v>
      </c>
      <c r="I24" s="112">
        <v>463.9</v>
      </c>
      <c r="J24" s="247">
        <v>0</v>
      </c>
      <c r="K24" s="112"/>
      <c r="L24" s="247">
        <v>0</v>
      </c>
      <c r="M24" s="112">
        <v>0</v>
      </c>
      <c r="N24" s="112"/>
      <c r="O24" s="247">
        <v>0</v>
      </c>
      <c r="P24" s="112">
        <v>0</v>
      </c>
      <c r="Q24" s="112"/>
      <c r="R24" s="558"/>
    </row>
    <row r="25" spans="1:18" s="29" customFormat="1" ht="25.5">
      <c r="A25" s="545" t="s">
        <v>182</v>
      </c>
      <c r="C25" s="240"/>
      <c r="D25" s="156"/>
      <c r="E25" s="156"/>
      <c r="F25" s="156"/>
      <c r="G25" s="112"/>
      <c r="H25" s="247">
        <v>5728.5</v>
      </c>
      <c r="I25" s="112">
        <v>177.2</v>
      </c>
      <c r="J25" s="247">
        <v>0</v>
      </c>
      <c r="K25" s="112"/>
      <c r="L25" s="247">
        <v>0</v>
      </c>
      <c r="M25" s="112">
        <v>0</v>
      </c>
      <c r="N25" s="112"/>
      <c r="O25" s="247">
        <v>0</v>
      </c>
      <c r="P25" s="112">
        <v>0</v>
      </c>
      <c r="Q25" s="112"/>
      <c r="R25" s="558"/>
    </row>
    <row r="26" spans="1:18" s="29" customFormat="1" ht="38.25">
      <c r="A26" s="243" t="s">
        <v>183</v>
      </c>
      <c r="B26" s="555"/>
      <c r="C26" s="240"/>
      <c r="D26" s="156"/>
      <c r="E26" s="156"/>
      <c r="F26" s="156"/>
      <c r="G26" s="112"/>
      <c r="H26" s="247">
        <v>38800</v>
      </c>
      <c r="I26" s="112">
        <v>1200</v>
      </c>
      <c r="J26" s="247">
        <v>0</v>
      </c>
      <c r="K26" s="112"/>
      <c r="L26" s="247">
        <v>0</v>
      </c>
      <c r="M26" s="112">
        <v>0</v>
      </c>
      <c r="N26" s="112"/>
      <c r="O26" s="247">
        <v>0</v>
      </c>
      <c r="P26" s="112">
        <v>0</v>
      </c>
      <c r="Q26" s="112"/>
      <c r="R26" s="558"/>
    </row>
    <row r="27" spans="1:18" s="29" customFormat="1" ht="25.5">
      <c r="A27" s="243" t="s">
        <v>184</v>
      </c>
      <c r="B27" s="555"/>
      <c r="C27" s="240"/>
      <c r="D27" s="156"/>
      <c r="E27" s="156"/>
      <c r="F27" s="156"/>
      <c r="G27" s="112"/>
      <c r="H27" s="247">
        <v>24250</v>
      </c>
      <c r="I27" s="112">
        <v>750</v>
      </c>
      <c r="J27" s="247">
        <v>0</v>
      </c>
      <c r="K27" s="112"/>
      <c r="L27" s="247">
        <v>0</v>
      </c>
      <c r="M27" s="112">
        <v>0</v>
      </c>
      <c r="N27" s="112"/>
      <c r="O27" s="247">
        <v>0</v>
      </c>
      <c r="P27" s="112">
        <v>0</v>
      </c>
      <c r="Q27" s="112"/>
      <c r="R27" s="558"/>
    </row>
    <row r="28" spans="1:18" s="29" customFormat="1" ht="24">
      <c r="A28" s="243" t="s">
        <v>185</v>
      </c>
      <c r="B28" s="555"/>
      <c r="C28" s="240"/>
      <c r="D28" s="156"/>
      <c r="E28" s="156"/>
      <c r="F28" s="156"/>
      <c r="G28" s="112"/>
      <c r="H28" s="247">
        <v>3797.4</v>
      </c>
      <c r="I28" s="112">
        <v>117.4</v>
      </c>
      <c r="J28" s="247">
        <v>0</v>
      </c>
      <c r="K28" s="112"/>
      <c r="L28" s="247">
        <v>0</v>
      </c>
      <c r="M28" s="112">
        <v>0</v>
      </c>
      <c r="N28" s="112"/>
      <c r="O28" s="247">
        <v>0</v>
      </c>
      <c r="P28" s="112">
        <v>0</v>
      </c>
      <c r="Q28" s="112"/>
      <c r="R28" s="558"/>
    </row>
    <row r="29" spans="1:18" s="279" customFormat="1" ht="12.75">
      <c r="A29" s="299" t="s">
        <v>474</v>
      </c>
      <c r="B29" s="300"/>
      <c r="C29" s="301"/>
      <c r="D29" s="302"/>
      <c r="E29" s="302"/>
      <c r="F29" s="302"/>
      <c r="G29" s="303"/>
      <c r="H29" s="304"/>
      <c r="I29" s="303"/>
      <c r="J29" s="304"/>
      <c r="K29" s="303">
        <f aca="true" t="shared" si="5" ref="K29:P29">K30</f>
        <v>0</v>
      </c>
      <c r="L29" s="304">
        <f t="shared" si="5"/>
        <v>0</v>
      </c>
      <c r="M29" s="303">
        <f t="shared" si="5"/>
        <v>0</v>
      </c>
      <c r="N29" s="303">
        <f t="shared" si="5"/>
        <v>672.2</v>
      </c>
      <c r="O29" s="304">
        <f t="shared" si="5"/>
        <v>652</v>
      </c>
      <c r="P29" s="303">
        <f t="shared" si="5"/>
        <v>20.2</v>
      </c>
      <c r="Q29" s="303"/>
      <c r="R29" s="305"/>
    </row>
    <row r="30" spans="1:18" s="279" customFormat="1" ht="25.5">
      <c r="A30" s="299" t="s">
        <v>59</v>
      </c>
      <c r="B30" s="300"/>
      <c r="C30" s="301"/>
      <c r="D30" s="302"/>
      <c r="E30" s="302"/>
      <c r="F30" s="302"/>
      <c r="G30" s="303"/>
      <c r="H30" s="304"/>
      <c r="I30" s="303"/>
      <c r="J30" s="304"/>
      <c r="K30" s="303">
        <f>L30+M30</f>
        <v>0</v>
      </c>
      <c r="L30" s="304">
        <v>0</v>
      </c>
      <c r="M30" s="303">
        <v>0</v>
      </c>
      <c r="N30" s="303">
        <f>O30+P30</f>
        <v>672.2</v>
      </c>
      <c r="O30" s="304">
        <v>652</v>
      </c>
      <c r="P30" s="303">
        <v>20.2</v>
      </c>
      <c r="Q30" s="303"/>
      <c r="R30" s="305"/>
    </row>
    <row r="31" spans="1:18" s="29" customFormat="1" ht="25.5">
      <c r="A31" s="294" t="s">
        <v>137</v>
      </c>
      <c r="B31" s="295" t="s">
        <v>260</v>
      </c>
      <c r="C31" s="253" t="s">
        <v>231</v>
      </c>
      <c r="D31" s="254" t="s">
        <v>263</v>
      </c>
      <c r="E31" s="254" t="s">
        <v>256</v>
      </c>
      <c r="F31" s="254" t="s">
        <v>241</v>
      </c>
      <c r="G31" s="241">
        <f>SUM(H31+I31)</f>
        <v>105099.7</v>
      </c>
      <c r="H31" s="242">
        <f>H32+H33+H35</f>
        <v>101946.7</v>
      </c>
      <c r="I31" s="241">
        <f>I32+I33+I35</f>
        <v>3153</v>
      </c>
      <c r="J31" s="242">
        <f>J32+J33+J35</f>
        <v>0</v>
      </c>
      <c r="K31" s="241">
        <f>L31+M31</f>
        <v>0</v>
      </c>
      <c r="L31" s="242">
        <f>L32+L33+L35</f>
        <v>0</v>
      </c>
      <c r="M31" s="241">
        <f>M32+M33+M35</f>
        <v>0</v>
      </c>
      <c r="N31" s="241">
        <f>O31+P31</f>
        <v>0</v>
      </c>
      <c r="O31" s="242">
        <f>O32+O33+O35</f>
        <v>0</v>
      </c>
      <c r="P31" s="241">
        <f>P32+P33+P35</f>
        <v>0</v>
      </c>
      <c r="Q31" s="586"/>
      <c r="R31" s="118"/>
    </row>
    <row r="32" spans="1:18" s="234" customFormat="1" ht="38.25">
      <c r="A32" s="559" t="s">
        <v>465</v>
      </c>
      <c r="B32" s="244"/>
      <c r="C32" s="306"/>
      <c r="D32" s="244"/>
      <c r="E32" s="306"/>
      <c r="F32" s="306"/>
      <c r="G32" s="244"/>
      <c r="H32" s="250">
        <v>6305</v>
      </c>
      <c r="I32" s="244">
        <v>195</v>
      </c>
      <c r="J32" s="250">
        <v>0</v>
      </c>
      <c r="K32" s="244"/>
      <c r="L32" s="250">
        <v>0</v>
      </c>
      <c r="M32" s="244">
        <v>0</v>
      </c>
      <c r="N32" s="244"/>
      <c r="O32" s="250">
        <v>0</v>
      </c>
      <c r="P32" s="244">
        <v>0</v>
      </c>
      <c r="Q32" s="244"/>
      <c r="R32" s="244"/>
    </row>
    <row r="33" spans="1:18" s="234" customFormat="1" ht="38.25" customHeight="1">
      <c r="A33" s="668" t="s">
        <v>378</v>
      </c>
      <c r="B33" s="244"/>
      <c r="C33" s="306"/>
      <c r="D33" s="244"/>
      <c r="E33" s="306"/>
      <c r="F33" s="306"/>
      <c r="G33" s="244"/>
      <c r="H33" s="250">
        <v>91412.5</v>
      </c>
      <c r="I33" s="244">
        <v>2827.2</v>
      </c>
      <c r="J33" s="250">
        <v>0</v>
      </c>
      <c r="K33" s="244"/>
      <c r="L33" s="250">
        <v>0</v>
      </c>
      <c r="M33" s="244">
        <v>0</v>
      </c>
      <c r="N33" s="244"/>
      <c r="O33" s="250">
        <v>0</v>
      </c>
      <c r="P33" s="244">
        <v>0</v>
      </c>
      <c r="Q33" s="244"/>
      <c r="R33" s="244"/>
    </row>
    <row r="34" spans="1:18" s="150" customFormat="1" ht="15" customHeight="1">
      <c r="A34" s="669"/>
      <c r="B34" s="297"/>
      <c r="C34" s="307"/>
      <c r="D34" s="297"/>
      <c r="E34" s="307"/>
      <c r="F34" s="307"/>
      <c r="G34" s="297"/>
      <c r="H34" s="298"/>
      <c r="I34" s="297"/>
      <c r="J34" s="298"/>
      <c r="K34" s="308"/>
      <c r="L34" s="309"/>
      <c r="M34" s="308"/>
      <c r="N34" s="308">
        <f>O34+P34</f>
        <v>8009.1</v>
      </c>
      <c r="O34" s="309">
        <v>7768.8</v>
      </c>
      <c r="P34" s="308">
        <v>240.3</v>
      </c>
      <c r="Q34" s="297"/>
      <c r="R34" s="297"/>
    </row>
    <row r="35" spans="1:18" s="234" customFormat="1" ht="12.75">
      <c r="A35" s="243" t="s">
        <v>467</v>
      </c>
      <c r="B35" s="244"/>
      <c r="C35" s="306"/>
      <c r="D35" s="244"/>
      <c r="E35" s="306"/>
      <c r="F35" s="306"/>
      <c r="G35" s="244"/>
      <c r="H35" s="250">
        <f>H36+H37+H38</f>
        <v>4229.2</v>
      </c>
      <c r="I35" s="244">
        <f>I36+I37+I38</f>
        <v>130.8</v>
      </c>
      <c r="J35" s="250">
        <f>J36+J37+J38</f>
        <v>0</v>
      </c>
      <c r="K35" s="244"/>
      <c r="L35" s="250">
        <f>L36+L37+L38</f>
        <v>0</v>
      </c>
      <c r="M35" s="244">
        <f>M36+M37+M38</f>
        <v>0</v>
      </c>
      <c r="N35" s="244"/>
      <c r="O35" s="250">
        <f>O36+O37+O38</f>
        <v>0</v>
      </c>
      <c r="P35" s="244">
        <f>P36+P37+P38</f>
        <v>0</v>
      </c>
      <c r="Q35" s="244"/>
      <c r="R35" s="244"/>
    </row>
    <row r="36" spans="1:18" s="277" customFormat="1" ht="22.5">
      <c r="A36" s="310" t="s">
        <v>466</v>
      </c>
      <c r="B36" s="311"/>
      <c r="C36" s="312"/>
      <c r="D36" s="311"/>
      <c r="E36" s="312"/>
      <c r="F36" s="312"/>
      <c r="G36" s="311"/>
      <c r="H36" s="313">
        <v>3104</v>
      </c>
      <c r="I36" s="311">
        <v>96</v>
      </c>
      <c r="J36" s="313">
        <v>0</v>
      </c>
      <c r="K36" s="311"/>
      <c r="L36" s="313">
        <v>0</v>
      </c>
      <c r="M36" s="311">
        <v>0</v>
      </c>
      <c r="N36" s="311"/>
      <c r="O36" s="313">
        <v>0</v>
      </c>
      <c r="P36" s="311">
        <v>0</v>
      </c>
      <c r="Q36" s="311"/>
      <c r="R36" s="311"/>
    </row>
    <row r="37" spans="1:18" s="277" customFormat="1" ht="22.5">
      <c r="A37" s="310" t="s">
        <v>186</v>
      </c>
      <c r="B37" s="311"/>
      <c r="C37" s="312"/>
      <c r="D37" s="311"/>
      <c r="E37" s="312"/>
      <c r="F37" s="312"/>
      <c r="G37" s="311"/>
      <c r="H37" s="313">
        <v>562.6</v>
      </c>
      <c r="I37" s="311">
        <v>17.4</v>
      </c>
      <c r="J37" s="313">
        <v>0</v>
      </c>
      <c r="K37" s="311"/>
      <c r="L37" s="313">
        <v>0</v>
      </c>
      <c r="M37" s="311">
        <v>0</v>
      </c>
      <c r="N37" s="311"/>
      <c r="O37" s="313">
        <v>0</v>
      </c>
      <c r="P37" s="311">
        <v>0</v>
      </c>
      <c r="Q37" s="311"/>
      <c r="R37" s="311"/>
    </row>
    <row r="38" spans="1:18" s="277" customFormat="1" ht="22.5">
      <c r="A38" s="310" t="s">
        <v>187</v>
      </c>
      <c r="B38" s="311"/>
      <c r="C38" s="312"/>
      <c r="D38" s="311"/>
      <c r="E38" s="312"/>
      <c r="F38" s="312"/>
      <c r="G38" s="311"/>
      <c r="H38" s="313">
        <v>562.6</v>
      </c>
      <c r="I38" s="311">
        <v>17.4</v>
      </c>
      <c r="J38" s="313">
        <v>0</v>
      </c>
      <c r="K38" s="311"/>
      <c r="L38" s="313">
        <v>0</v>
      </c>
      <c r="M38" s="311">
        <v>0</v>
      </c>
      <c r="N38" s="311"/>
      <c r="O38" s="313">
        <v>0</v>
      </c>
      <c r="P38" s="311">
        <v>0</v>
      </c>
      <c r="Q38" s="311"/>
      <c r="R38" s="311"/>
    </row>
    <row r="39" spans="1:18" s="275" customFormat="1" ht="12" customHeight="1">
      <c r="A39" s="314" t="s">
        <v>468</v>
      </c>
      <c r="B39" s="314"/>
      <c r="C39" s="315"/>
      <c r="D39" s="314"/>
      <c r="E39" s="315"/>
      <c r="F39" s="315"/>
      <c r="G39" s="314"/>
      <c r="H39" s="316"/>
      <c r="I39" s="314"/>
      <c r="J39" s="316"/>
      <c r="K39" s="314"/>
      <c r="L39" s="316"/>
      <c r="M39" s="314"/>
      <c r="N39" s="314">
        <f>O39+P39</f>
        <v>210.4</v>
      </c>
      <c r="O39" s="316">
        <f>O41+O42</f>
        <v>204.1</v>
      </c>
      <c r="P39" s="314">
        <f>P41+P42</f>
        <v>6.3</v>
      </c>
      <c r="Q39" s="314"/>
      <c r="R39" s="297"/>
    </row>
    <row r="40" spans="1:18" s="150" customFormat="1" ht="12.75">
      <c r="A40" s="297" t="s">
        <v>470</v>
      </c>
      <c r="B40" s="297"/>
      <c r="C40" s="307"/>
      <c r="D40" s="297"/>
      <c r="E40" s="307"/>
      <c r="F40" s="307"/>
      <c r="G40" s="297"/>
      <c r="H40" s="298"/>
      <c r="I40" s="297"/>
      <c r="J40" s="298"/>
      <c r="K40" s="297"/>
      <c r="L40" s="298"/>
      <c r="M40" s="297"/>
      <c r="N40" s="297"/>
      <c r="O40" s="298"/>
      <c r="P40" s="297"/>
      <c r="Q40" s="297"/>
      <c r="R40" s="297"/>
    </row>
    <row r="41" spans="1:18" s="276" customFormat="1" ht="22.5">
      <c r="A41" s="317" t="s">
        <v>469</v>
      </c>
      <c r="B41" s="318"/>
      <c r="C41" s="319"/>
      <c r="D41" s="318"/>
      <c r="E41" s="319"/>
      <c r="F41" s="319"/>
      <c r="G41" s="318"/>
      <c r="H41" s="320"/>
      <c r="I41" s="318"/>
      <c r="J41" s="320"/>
      <c r="K41" s="318"/>
      <c r="L41" s="320"/>
      <c r="M41" s="318"/>
      <c r="N41" s="318">
        <f>O41+P41</f>
        <v>210.4</v>
      </c>
      <c r="O41" s="320">
        <v>204.1</v>
      </c>
      <c r="P41" s="318">
        <v>6.3</v>
      </c>
      <c r="Q41" s="318"/>
      <c r="R41" s="318"/>
    </row>
    <row r="42" spans="1:18" s="274" customFormat="1" ht="25.5">
      <c r="A42" s="308" t="s">
        <v>471</v>
      </c>
      <c r="B42" s="308"/>
      <c r="C42" s="321"/>
      <c r="D42" s="308"/>
      <c r="E42" s="321"/>
      <c r="F42" s="321"/>
      <c r="G42" s="308"/>
      <c r="H42" s="309"/>
      <c r="I42" s="308"/>
      <c r="J42" s="309"/>
      <c r="K42" s="308"/>
      <c r="L42" s="309"/>
      <c r="M42" s="308"/>
      <c r="N42" s="308">
        <f>O42+P42</f>
        <v>0</v>
      </c>
      <c r="O42" s="309">
        <v>0</v>
      </c>
      <c r="P42" s="308">
        <v>0</v>
      </c>
      <c r="Q42" s="308"/>
      <c r="R42" s="308"/>
    </row>
  </sheetData>
  <mergeCells count="14">
    <mergeCell ref="A20:A21"/>
    <mergeCell ref="A33:A34"/>
    <mergeCell ref="R5:R7"/>
    <mergeCell ref="Q5:Q7"/>
    <mergeCell ref="A16:A17"/>
    <mergeCell ref="A18:A19"/>
    <mergeCell ref="A5:A7"/>
    <mergeCell ref="B5:B7"/>
    <mergeCell ref="C5:C7"/>
    <mergeCell ref="N5:P5"/>
    <mergeCell ref="D5:D7"/>
    <mergeCell ref="E5:E7"/>
    <mergeCell ref="F5:F7"/>
    <mergeCell ref="J5:J7"/>
  </mergeCells>
  <printOptions gridLines="1"/>
  <pageMargins left="0.1968503937007874" right="0" top="0.5905511811023623" bottom="0.1968503937007874" header="0.5118110236220472" footer="0.5118110236220472"/>
  <pageSetup fitToHeight="0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R75"/>
  <sheetViews>
    <sheetView zoomScale="130" zoomScaleNormal="13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17" sqref="Q17:Q18"/>
    </sheetView>
  </sheetViews>
  <sheetFormatPr defaultColWidth="9.00390625" defaultRowHeight="12.75" outlineLevelRow="1" outlineLevelCol="1"/>
  <cols>
    <col min="1" max="1" width="46.75390625" style="1" customWidth="1"/>
    <col min="2" max="2" width="8.125" style="1" customWidth="1"/>
    <col min="3" max="3" width="3.125" style="2" customWidth="1"/>
    <col min="4" max="4" width="3.25390625" style="1" customWidth="1"/>
    <col min="5" max="6" width="3.625" style="2" customWidth="1"/>
    <col min="7" max="7" width="9.125" style="1" customWidth="1"/>
    <col min="8" max="8" width="9.25390625" style="1" customWidth="1"/>
    <col min="9" max="9" width="6.875" style="1" customWidth="1"/>
    <col min="10" max="10" width="9.00390625" style="1" customWidth="1" outlineLevel="1"/>
    <col min="11" max="11" width="8.875" style="1" customWidth="1"/>
    <col min="12" max="12" width="10.625" style="1" customWidth="1"/>
    <col min="13" max="13" width="6.75390625" style="1" customWidth="1"/>
    <col min="14" max="14" width="8.875" style="1" customWidth="1"/>
    <col min="15" max="15" width="9.00390625" style="1" customWidth="1"/>
    <col min="16" max="16" width="7.00390625" style="1" customWidth="1"/>
    <col min="17" max="17" width="5.875" style="1" customWidth="1"/>
    <col min="18" max="18" width="5.625" style="1" customWidth="1"/>
    <col min="19" max="16384" width="9.125" style="1" customWidth="1"/>
  </cols>
  <sheetData>
    <row r="1" ht="14.25">
      <c r="H1" s="21" t="s">
        <v>307</v>
      </c>
    </row>
    <row r="2" ht="14.25">
      <c r="H2" s="21" t="s">
        <v>317</v>
      </c>
    </row>
    <row r="3" ht="14.25">
      <c r="H3" s="21" t="s">
        <v>316</v>
      </c>
    </row>
    <row r="4" ht="14.25">
      <c r="H4" s="21" t="s">
        <v>152</v>
      </c>
    </row>
    <row r="5" ht="11.25" customHeight="1">
      <c r="P5" s="125" t="s">
        <v>308</v>
      </c>
    </row>
    <row r="6" spans="1:18" s="50" customFormat="1" ht="11.25" customHeight="1">
      <c r="A6" s="645"/>
      <c r="B6" s="636" t="s">
        <v>213</v>
      </c>
      <c r="C6" s="636" t="s">
        <v>214</v>
      </c>
      <c r="D6" s="636" t="s">
        <v>215</v>
      </c>
      <c r="E6" s="636" t="s">
        <v>216</v>
      </c>
      <c r="F6" s="636" t="s">
        <v>218</v>
      </c>
      <c r="G6" s="46"/>
      <c r="H6" s="47" t="s">
        <v>300</v>
      </c>
      <c r="I6" s="48"/>
      <c r="J6" s="595" t="s">
        <v>170</v>
      </c>
      <c r="K6" s="46"/>
      <c r="L6" s="49" t="s">
        <v>301</v>
      </c>
      <c r="M6" s="48"/>
      <c r="N6" s="648" t="s">
        <v>302</v>
      </c>
      <c r="O6" s="649"/>
      <c r="P6" s="650"/>
      <c r="Q6" s="642" t="s">
        <v>339</v>
      </c>
      <c r="R6" s="642" t="s">
        <v>290</v>
      </c>
    </row>
    <row r="7" spans="1:18" s="50" customFormat="1" ht="12.75">
      <c r="A7" s="646"/>
      <c r="B7" s="637"/>
      <c r="C7" s="637"/>
      <c r="D7" s="637"/>
      <c r="E7" s="637"/>
      <c r="F7" s="637"/>
      <c r="G7" s="51"/>
      <c r="H7" s="675"/>
      <c r="I7" s="675"/>
      <c r="J7" s="596"/>
      <c r="K7" s="51"/>
      <c r="L7" s="674"/>
      <c r="M7" s="674"/>
      <c r="N7" s="51"/>
      <c r="O7" s="674"/>
      <c r="P7" s="674"/>
      <c r="Q7" s="593"/>
      <c r="R7" s="593"/>
    </row>
    <row r="8" spans="1:18" s="50" customFormat="1" ht="43.5" customHeight="1">
      <c r="A8" s="647"/>
      <c r="B8" s="638"/>
      <c r="C8" s="638"/>
      <c r="D8" s="638"/>
      <c r="E8" s="638"/>
      <c r="F8" s="638"/>
      <c r="G8" s="52" t="s">
        <v>304</v>
      </c>
      <c r="H8" s="53" t="s">
        <v>305</v>
      </c>
      <c r="I8" s="127" t="s">
        <v>306</v>
      </c>
      <c r="J8" s="597"/>
      <c r="K8" s="52" t="s">
        <v>304</v>
      </c>
      <c r="L8" s="53" t="s">
        <v>305</v>
      </c>
      <c r="M8" s="127" t="s">
        <v>306</v>
      </c>
      <c r="N8" s="52" t="s">
        <v>304</v>
      </c>
      <c r="O8" s="53" t="s">
        <v>305</v>
      </c>
      <c r="P8" s="127" t="s">
        <v>306</v>
      </c>
      <c r="Q8" s="594"/>
      <c r="R8" s="594"/>
    </row>
    <row r="9" spans="1:18" ht="21.75" customHeight="1">
      <c r="A9" s="44" t="s">
        <v>310</v>
      </c>
      <c r="B9" s="39" t="s">
        <v>262</v>
      </c>
      <c r="C9" s="81"/>
      <c r="D9" s="39"/>
      <c r="E9" s="81"/>
      <c r="F9" s="81"/>
      <c r="G9" s="114">
        <f>SUM(G11+G65+G71)</f>
        <v>214004.6</v>
      </c>
      <c r="H9" s="132">
        <f>SUM(H11+H65+H71)</f>
        <v>208832.9</v>
      </c>
      <c r="I9" s="114">
        <f>SUM(I11+I65+I71)</f>
        <v>5171.700000000001</v>
      </c>
      <c r="J9" s="132">
        <f>SUM(J11+J65+J71)</f>
        <v>55511.5</v>
      </c>
      <c r="K9" s="114">
        <f>SUM(K11+K65)</f>
        <v>23763.300000000003</v>
      </c>
      <c r="L9" s="132">
        <f>SUM(L11+L65+L71)</f>
        <v>23699.4</v>
      </c>
      <c r="M9" s="114">
        <f>SUM(M11+M65)</f>
        <v>63.9</v>
      </c>
      <c r="N9" s="114">
        <f>SUM(N11+N65)</f>
        <v>23763.3</v>
      </c>
      <c r="O9" s="132">
        <f>SUM(O11+O65)</f>
        <v>23699.4</v>
      </c>
      <c r="P9" s="114">
        <f>SUM(P11+P65)</f>
        <v>63.9</v>
      </c>
      <c r="Q9" s="40">
        <f>L9/J9*100</f>
        <v>42.6927753708691</v>
      </c>
      <c r="R9" s="39">
        <f>N9/K9*100</f>
        <v>99.99999999999999</v>
      </c>
    </row>
    <row r="10" spans="1:18" s="149" customFormat="1" ht="14.25" customHeight="1">
      <c r="A10" s="453" t="s">
        <v>295</v>
      </c>
      <c r="B10" s="290"/>
      <c r="C10" s="289"/>
      <c r="D10" s="290"/>
      <c r="E10" s="289"/>
      <c r="F10" s="289"/>
      <c r="G10" s="446"/>
      <c r="H10" s="330"/>
      <c r="I10" s="446"/>
      <c r="J10" s="330"/>
      <c r="K10" s="446"/>
      <c r="L10" s="330"/>
      <c r="M10" s="446"/>
      <c r="N10" s="446">
        <f>O10+P10</f>
        <v>26945.9</v>
      </c>
      <c r="O10" s="330">
        <f>O29+O34+O36+O38+O45+O47+O60</f>
        <v>26137.5</v>
      </c>
      <c r="P10" s="446">
        <f>P29+P34+P36+P38+P45+P47+P60</f>
        <v>808.4</v>
      </c>
      <c r="Q10" s="329"/>
      <c r="R10" s="290"/>
    </row>
    <row r="11" spans="1:18" ht="40.5">
      <c r="A11" s="79" t="s">
        <v>230</v>
      </c>
      <c r="B11" s="39" t="s">
        <v>262</v>
      </c>
      <c r="C11" s="80" t="s">
        <v>231</v>
      </c>
      <c r="D11" s="39"/>
      <c r="E11" s="81"/>
      <c r="F11" s="81"/>
      <c r="G11" s="114">
        <f>SUM(G12)</f>
        <v>211710.9</v>
      </c>
      <c r="H11" s="132">
        <f>H12</f>
        <v>206539.19999999998</v>
      </c>
      <c r="I11" s="114">
        <f>I12</f>
        <v>5171.700000000001</v>
      </c>
      <c r="J11" s="132">
        <f>J12</f>
        <v>55334.5</v>
      </c>
      <c r="K11" s="114">
        <f>SUM(K12)</f>
        <v>23763.300000000003</v>
      </c>
      <c r="L11" s="132">
        <f>L12</f>
        <v>23699.4</v>
      </c>
      <c r="M11" s="114">
        <f>M12</f>
        <v>63.9</v>
      </c>
      <c r="N11" s="114">
        <f>SUM(N12)</f>
        <v>23763.3</v>
      </c>
      <c r="O11" s="132">
        <f>SUM(O12)</f>
        <v>23699.4</v>
      </c>
      <c r="P11" s="114">
        <f>P12</f>
        <v>63.9</v>
      </c>
      <c r="Q11" s="40">
        <f>SUM(L11/J11)*100</f>
        <v>42.82933793564594</v>
      </c>
      <c r="R11" s="40">
        <f>N11/K11*100</f>
        <v>99.99999999999999</v>
      </c>
    </row>
    <row r="12" spans="1:18" ht="12.75">
      <c r="A12" s="39" t="s">
        <v>264</v>
      </c>
      <c r="B12" s="39" t="s">
        <v>262</v>
      </c>
      <c r="C12" s="80" t="s">
        <v>231</v>
      </c>
      <c r="D12" s="82" t="s">
        <v>263</v>
      </c>
      <c r="E12" s="81"/>
      <c r="F12" s="81"/>
      <c r="G12" s="39">
        <f aca="true" t="shared" si="0" ref="G12:N12">SUM(G13)</f>
        <v>211710.9</v>
      </c>
      <c r="H12" s="130">
        <f t="shared" si="0"/>
        <v>206539.19999999998</v>
      </c>
      <c r="I12" s="39">
        <f t="shared" si="0"/>
        <v>5171.700000000001</v>
      </c>
      <c r="J12" s="130">
        <f t="shared" si="0"/>
        <v>55334.5</v>
      </c>
      <c r="K12" s="39">
        <f t="shared" si="0"/>
        <v>23763.300000000003</v>
      </c>
      <c r="L12" s="130">
        <f>SUM(L13)</f>
        <v>23699.4</v>
      </c>
      <c r="M12" s="39">
        <f>SUM(M13)</f>
        <v>63.9</v>
      </c>
      <c r="N12" s="39">
        <f t="shared" si="0"/>
        <v>23763.3</v>
      </c>
      <c r="O12" s="130">
        <f>SUM(O13)</f>
        <v>23699.4</v>
      </c>
      <c r="P12" s="39">
        <f>SUM(P13)</f>
        <v>63.9</v>
      </c>
      <c r="Q12" s="39"/>
      <c r="R12" s="39"/>
    </row>
    <row r="13" spans="1:18" ht="12.75">
      <c r="A13" s="39" t="s">
        <v>265</v>
      </c>
      <c r="B13" s="39" t="s">
        <v>262</v>
      </c>
      <c r="C13" s="80" t="s">
        <v>231</v>
      </c>
      <c r="D13" s="82" t="s">
        <v>263</v>
      </c>
      <c r="E13" s="82" t="s">
        <v>256</v>
      </c>
      <c r="F13" s="81"/>
      <c r="G13" s="110">
        <f>SUM(G14+G22)</f>
        <v>211710.9</v>
      </c>
      <c r="H13" s="130">
        <f>SUM(H14+H22)</f>
        <v>206539.19999999998</v>
      </c>
      <c r="I13" s="110">
        <f>SUM(I22)</f>
        <v>5171.700000000001</v>
      </c>
      <c r="J13" s="130">
        <f aca="true" t="shared" si="1" ref="J13:P13">SUM(J14+J22)</f>
        <v>55334.5</v>
      </c>
      <c r="K13" s="110">
        <f>L13+M13</f>
        <v>23763.300000000003</v>
      </c>
      <c r="L13" s="130">
        <f t="shared" si="1"/>
        <v>23699.4</v>
      </c>
      <c r="M13" s="110">
        <f t="shared" si="1"/>
        <v>63.9</v>
      </c>
      <c r="N13" s="110">
        <f t="shared" si="1"/>
        <v>23763.3</v>
      </c>
      <c r="O13" s="130">
        <f t="shared" si="1"/>
        <v>23699.4</v>
      </c>
      <c r="P13" s="39">
        <f t="shared" si="1"/>
        <v>63.9</v>
      </c>
      <c r="Q13" s="39"/>
      <c r="R13" s="39"/>
    </row>
    <row r="14" spans="1:18" ht="12.75">
      <c r="A14" s="88" t="s">
        <v>257</v>
      </c>
      <c r="B14" s="39" t="s">
        <v>262</v>
      </c>
      <c r="C14" s="80" t="s">
        <v>231</v>
      </c>
      <c r="D14" s="82" t="s">
        <v>263</v>
      </c>
      <c r="E14" s="82" t="s">
        <v>256</v>
      </c>
      <c r="F14" s="82" t="s">
        <v>258</v>
      </c>
      <c r="G14" s="110">
        <f>SUM(G16+G19)</f>
        <v>39318.9</v>
      </c>
      <c r="H14" s="130">
        <f>SUM(H16+H19)</f>
        <v>39318.9</v>
      </c>
      <c r="I14" s="39"/>
      <c r="J14" s="130">
        <f>SUM(J16+J19)</f>
        <v>30389</v>
      </c>
      <c r="K14" s="39">
        <f>SUM(L14+M14)</f>
        <v>21635.5</v>
      </c>
      <c r="L14" s="130">
        <f>SUM(L16+L19)</f>
        <v>21635.5</v>
      </c>
      <c r="M14" s="110"/>
      <c r="N14" s="39">
        <f>SUM(O14+P14)</f>
        <v>21635.5</v>
      </c>
      <c r="O14" s="130">
        <f>SUM(O16+O19)</f>
        <v>21635.5</v>
      </c>
      <c r="P14" s="39"/>
      <c r="Q14" s="39"/>
      <c r="R14" s="39"/>
    </row>
    <row r="15" spans="1:18" ht="12.75">
      <c r="A15" s="88" t="s">
        <v>303</v>
      </c>
      <c r="B15" s="39"/>
      <c r="C15" s="80"/>
      <c r="D15" s="82"/>
      <c r="E15" s="82"/>
      <c r="F15" s="82"/>
      <c r="G15" s="39"/>
      <c r="H15" s="130"/>
      <c r="I15" s="39"/>
      <c r="J15" s="130"/>
      <c r="K15" s="39"/>
      <c r="L15" s="130"/>
      <c r="M15" s="39"/>
      <c r="N15" s="39"/>
      <c r="O15" s="130"/>
      <c r="P15" s="39"/>
      <c r="Q15" s="39"/>
      <c r="R15" s="39"/>
    </row>
    <row r="16" spans="1:18" ht="25.5">
      <c r="A16" s="41" t="s">
        <v>230</v>
      </c>
      <c r="B16" s="39" t="s">
        <v>262</v>
      </c>
      <c r="C16" s="80" t="s">
        <v>231</v>
      </c>
      <c r="D16" s="82" t="s">
        <v>263</v>
      </c>
      <c r="E16" s="82" t="s">
        <v>256</v>
      </c>
      <c r="F16" s="82" t="s">
        <v>258</v>
      </c>
      <c r="G16" s="39">
        <f>H16+I16</f>
        <v>28895</v>
      </c>
      <c r="H16" s="130">
        <f>H17+H18</f>
        <v>28895</v>
      </c>
      <c r="I16" s="39"/>
      <c r="J16" s="130">
        <f>J17+J18</f>
        <v>28895</v>
      </c>
      <c r="K16" s="39">
        <f>L16+M16</f>
        <v>20141.5</v>
      </c>
      <c r="L16" s="130">
        <f>L17+L18</f>
        <v>20141.5</v>
      </c>
      <c r="M16" s="39"/>
      <c r="N16" s="39">
        <f>O16+P16</f>
        <v>20141.5</v>
      </c>
      <c r="O16" s="130">
        <f>O17+O18</f>
        <v>20141.5</v>
      </c>
      <c r="P16" s="39"/>
      <c r="Q16" s="39">
        <f>SUM(L16/J16)*100</f>
        <v>69.70583145872989</v>
      </c>
      <c r="R16" s="39">
        <f>O16/L16*100</f>
        <v>100</v>
      </c>
    </row>
    <row r="17" spans="1:18" ht="60">
      <c r="A17" s="454" t="s">
        <v>2</v>
      </c>
      <c r="B17" s="39"/>
      <c r="C17" s="80"/>
      <c r="D17" s="82"/>
      <c r="E17" s="82"/>
      <c r="F17" s="82"/>
      <c r="G17" s="39"/>
      <c r="H17" s="131">
        <v>14385</v>
      </c>
      <c r="I17" s="103"/>
      <c r="J17" s="131">
        <v>14385</v>
      </c>
      <c r="K17" s="103"/>
      <c r="L17" s="131">
        <v>12129</v>
      </c>
      <c r="M17" s="103"/>
      <c r="N17" s="103"/>
      <c r="O17" s="131">
        <v>12129</v>
      </c>
      <c r="P17" s="103"/>
      <c r="Q17" s="39"/>
      <c r="R17" s="39"/>
    </row>
    <row r="18" spans="1:18" ht="72" customHeight="1">
      <c r="A18" s="455" t="s">
        <v>3</v>
      </c>
      <c r="B18" s="39"/>
      <c r="C18" s="80"/>
      <c r="D18" s="82"/>
      <c r="E18" s="82"/>
      <c r="F18" s="82"/>
      <c r="G18" s="39"/>
      <c r="H18" s="131">
        <v>14510</v>
      </c>
      <c r="I18" s="103"/>
      <c r="J18" s="131">
        <v>14510</v>
      </c>
      <c r="K18" s="103"/>
      <c r="L18" s="131">
        <v>8012.5</v>
      </c>
      <c r="M18" s="103"/>
      <c r="N18" s="103"/>
      <c r="O18" s="131">
        <v>8012.5</v>
      </c>
      <c r="P18" s="103"/>
      <c r="Q18" s="39"/>
      <c r="R18" s="39"/>
    </row>
    <row r="19" spans="1:18" ht="12.75">
      <c r="A19" s="84" t="s">
        <v>140</v>
      </c>
      <c r="B19" s="39" t="s">
        <v>262</v>
      </c>
      <c r="C19" s="80" t="s">
        <v>231</v>
      </c>
      <c r="D19" s="82" t="s">
        <v>263</v>
      </c>
      <c r="E19" s="82" t="s">
        <v>256</v>
      </c>
      <c r="F19" s="82" t="s">
        <v>258</v>
      </c>
      <c r="G19" s="39">
        <f>H19</f>
        <v>10423.9</v>
      </c>
      <c r="H19" s="132">
        <f>SUM(H20+H21)</f>
        <v>10423.9</v>
      </c>
      <c r="I19" s="39"/>
      <c r="J19" s="132">
        <f>SUM(J20+J21)</f>
        <v>1494</v>
      </c>
      <c r="K19" s="40"/>
      <c r="L19" s="132">
        <f>SUM(L20+L21)</f>
        <v>1494</v>
      </c>
      <c r="M19" s="40"/>
      <c r="N19" s="40"/>
      <c r="O19" s="132">
        <f>SUM(O20+O21)</f>
        <v>1494</v>
      </c>
      <c r="P19" s="40"/>
      <c r="Q19" s="39">
        <f>L19/J19*100</f>
        <v>100</v>
      </c>
      <c r="R19" s="39">
        <f>O19/L19*100</f>
        <v>100</v>
      </c>
    </row>
    <row r="20" spans="1:18" ht="24">
      <c r="A20" s="454" t="s">
        <v>164</v>
      </c>
      <c r="B20" s="39"/>
      <c r="C20" s="80"/>
      <c r="D20" s="82"/>
      <c r="E20" s="82"/>
      <c r="F20" s="82"/>
      <c r="G20" s="103"/>
      <c r="H20" s="131">
        <v>5000</v>
      </c>
      <c r="I20" s="103">
        <v>0</v>
      </c>
      <c r="J20" s="131">
        <v>1494</v>
      </c>
      <c r="K20" s="103"/>
      <c r="L20" s="131">
        <v>1494</v>
      </c>
      <c r="M20" s="103"/>
      <c r="N20" s="103"/>
      <c r="O20" s="131">
        <v>1494</v>
      </c>
      <c r="P20" s="103"/>
      <c r="Q20" s="39"/>
      <c r="R20" s="39"/>
    </row>
    <row r="21" spans="1:18" s="29" customFormat="1" ht="24">
      <c r="A21" s="548" t="s">
        <v>165</v>
      </c>
      <c r="B21" s="112"/>
      <c r="C21" s="240"/>
      <c r="D21" s="156"/>
      <c r="E21" s="156"/>
      <c r="F21" s="156"/>
      <c r="G21" s="112"/>
      <c r="H21" s="247">
        <v>5423.9</v>
      </c>
      <c r="I21" s="112"/>
      <c r="J21" s="247">
        <v>0</v>
      </c>
      <c r="K21" s="112"/>
      <c r="L21" s="247">
        <v>0</v>
      </c>
      <c r="M21" s="112"/>
      <c r="N21" s="112"/>
      <c r="O21" s="247">
        <v>0</v>
      </c>
      <c r="P21" s="112"/>
      <c r="Q21" s="112"/>
      <c r="R21" s="112"/>
    </row>
    <row r="22" spans="1:18" ht="12.75">
      <c r="A22" s="42" t="s">
        <v>299</v>
      </c>
      <c r="B22" s="39" t="s">
        <v>262</v>
      </c>
      <c r="C22" s="80" t="s">
        <v>231</v>
      </c>
      <c r="D22" s="82" t="s">
        <v>263</v>
      </c>
      <c r="E22" s="82" t="s">
        <v>256</v>
      </c>
      <c r="F22" s="82" t="s">
        <v>241</v>
      </c>
      <c r="G22" s="40">
        <f>H22+I22</f>
        <v>172392</v>
      </c>
      <c r="H22" s="132">
        <f>SUM(H23+H32+H58)</f>
        <v>167220.3</v>
      </c>
      <c r="I22" s="114">
        <f aca="true" t="shared" si="2" ref="I22:P22">SUM(I23+I32)</f>
        <v>5171.700000000001</v>
      </c>
      <c r="J22" s="132">
        <f>SUM(J23+J32+J58)</f>
        <v>24945.5</v>
      </c>
      <c r="K22" s="40">
        <f t="shared" si="2"/>
        <v>0</v>
      </c>
      <c r="L22" s="132">
        <f>SUM(L23+L32+L58)</f>
        <v>2063.9</v>
      </c>
      <c r="M22" s="114">
        <f t="shared" si="2"/>
        <v>63.9</v>
      </c>
      <c r="N22" s="40">
        <f t="shared" si="2"/>
        <v>2127.8</v>
      </c>
      <c r="O22" s="132">
        <f>SUM(O23+O32+O58)</f>
        <v>2063.9</v>
      </c>
      <c r="P22" s="114">
        <f t="shared" si="2"/>
        <v>63.9</v>
      </c>
      <c r="Q22" s="39">
        <f>L22/H22*100</f>
        <v>1.2342401012317286</v>
      </c>
      <c r="R22" s="39">
        <f>O22/L22*100</f>
        <v>100</v>
      </c>
    </row>
    <row r="23" spans="1:18" ht="181.5" customHeight="1">
      <c r="A23" s="84" t="s">
        <v>212</v>
      </c>
      <c r="B23" s="39" t="s">
        <v>262</v>
      </c>
      <c r="C23" s="80" t="s">
        <v>231</v>
      </c>
      <c r="D23" s="82" t="s">
        <v>263</v>
      </c>
      <c r="E23" s="82" t="s">
        <v>256</v>
      </c>
      <c r="F23" s="82" t="s">
        <v>241</v>
      </c>
      <c r="G23" s="39">
        <f>SUM(H23+I23)</f>
        <v>35574.799999999996</v>
      </c>
      <c r="H23" s="130">
        <f>H24+H25</f>
        <v>34466.1</v>
      </c>
      <c r="I23" s="39">
        <f>I24+I25+I58</f>
        <v>1108.7</v>
      </c>
      <c r="J23" s="130">
        <f>J24+J25</f>
        <v>0</v>
      </c>
      <c r="K23" s="39">
        <f>SUM(L23+M23)</f>
        <v>0</v>
      </c>
      <c r="L23" s="130">
        <f>L24+L25</f>
        <v>0</v>
      </c>
      <c r="M23" s="39">
        <f>M24+M25</f>
        <v>0</v>
      </c>
      <c r="N23" s="39">
        <f>SUM(O23+P23)</f>
        <v>0</v>
      </c>
      <c r="O23" s="130">
        <f>O24+O25</f>
        <v>0</v>
      </c>
      <c r="P23" s="39">
        <f>P24+P25</f>
        <v>0</v>
      </c>
      <c r="Q23" s="39">
        <v>0</v>
      </c>
      <c r="R23" s="39">
        <v>0</v>
      </c>
    </row>
    <row r="24" spans="1:18" s="22" customFormat="1" ht="23.25" customHeight="1">
      <c r="A24" s="452" t="s">
        <v>486</v>
      </c>
      <c r="B24" s="103"/>
      <c r="C24" s="378"/>
      <c r="D24" s="102"/>
      <c r="E24" s="102"/>
      <c r="F24" s="102"/>
      <c r="G24" s="103"/>
      <c r="H24" s="131">
        <v>1000</v>
      </c>
      <c r="I24" s="103">
        <v>30.9</v>
      </c>
      <c r="J24" s="131">
        <v>0</v>
      </c>
      <c r="K24" s="103"/>
      <c r="L24" s="131">
        <v>0</v>
      </c>
      <c r="M24" s="103">
        <v>0</v>
      </c>
      <c r="N24" s="103"/>
      <c r="O24" s="131">
        <v>0</v>
      </c>
      <c r="P24" s="113">
        <v>0</v>
      </c>
      <c r="Q24" s="103"/>
      <c r="R24" s="103"/>
    </row>
    <row r="25" spans="1:18" s="22" customFormat="1" ht="15.75" customHeight="1">
      <c r="A25" s="452" t="s">
        <v>166</v>
      </c>
      <c r="B25" s="103"/>
      <c r="C25" s="378"/>
      <c r="D25" s="102"/>
      <c r="E25" s="102"/>
      <c r="F25" s="102"/>
      <c r="G25" s="103"/>
      <c r="H25" s="131">
        <f>H26+H27+H28</f>
        <v>33466.1</v>
      </c>
      <c r="I25" s="103">
        <f>I26+I27+I28</f>
        <v>1035</v>
      </c>
      <c r="J25" s="131">
        <f>J26+J27+J28</f>
        <v>0</v>
      </c>
      <c r="K25" s="103"/>
      <c r="L25" s="131">
        <f>L26+L27+L28</f>
        <v>0</v>
      </c>
      <c r="M25" s="103">
        <f>M26+M27+M28</f>
        <v>0</v>
      </c>
      <c r="N25" s="103"/>
      <c r="O25" s="131">
        <f>O26+O27+O28</f>
        <v>0</v>
      </c>
      <c r="P25" s="113">
        <f>P26+P27+P28</f>
        <v>0</v>
      </c>
      <c r="Q25" s="103"/>
      <c r="R25" s="103"/>
    </row>
    <row r="26" spans="1:18" s="22" customFormat="1" ht="27" customHeight="1">
      <c r="A26" s="549" t="s">
        <v>167</v>
      </c>
      <c r="B26" s="103"/>
      <c r="C26" s="378"/>
      <c r="D26" s="102"/>
      <c r="E26" s="102"/>
      <c r="F26" s="102"/>
      <c r="G26" s="103"/>
      <c r="H26" s="202">
        <v>18730.2</v>
      </c>
      <c r="I26" s="200">
        <v>579.3</v>
      </c>
      <c r="J26" s="202">
        <v>0</v>
      </c>
      <c r="K26" s="200"/>
      <c r="L26" s="202">
        <v>0</v>
      </c>
      <c r="M26" s="200">
        <v>0</v>
      </c>
      <c r="N26" s="200"/>
      <c r="O26" s="202">
        <v>0</v>
      </c>
      <c r="P26" s="200">
        <v>0</v>
      </c>
      <c r="Q26" s="200"/>
      <c r="R26" s="200"/>
    </row>
    <row r="27" spans="1:18" s="22" customFormat="1" ht="21.75" customHeight="1">
      <c r="A27" s="550" t="s">
        <v>168</v>
      </c>
      <c r="B27" s="551"/>
      <c r="C27" s="552"/>
      <c r="D27" s="553"/>
      <c r="E27" s="553"/>
      <c r="F27" s="553"/>
      <c r="G27" s="551"/>
      <c r="H27" s="202">
        <v>10748.4</v>
      </c>
      <c r="I27" s="200">
        <v>332.4</v>
      </c>
      <c r="J27" s="202">
        <v>0</v>
      </c>
      <c r="K27" s="200"/>
      <c r="L27" s="202">
        <v>0</v>
      </c>
      <c r="M27" s="200">
        <v>0</v>
      </c>
      <c r="N27" s="200"/>
      <c r="O27" s="202">
        <v>0</v>
      </c>
      <c r="P27" s="200">
        <v>0</v>
      </c>
      <c r="Q27" s="200"/>
      <c r="R27" s="200"/>
    </row>
    <row r="28" spans="1:18" s="22" customFormat="1" ht="36.75" customHeight="1">
      <c r="A28" s="550" t="s">
        <v>169</v>
      </c>
      <c r="B28" s="551"/>
      <c r="C28" s="552"/>
      <c r="D28" s="553"/>
      <c r="E28" s="553"/>
      <c r="F28" s="553"/>
      <c r="G28" s="551"/>
      <c r="H28" s="202">
        <v>3987.5</v>
      </c>
      <c r="I28" s="200">
        <v>123.3</v>
      </c>
      <c r="J28" s="202">
        <v>0</v>
      </c>
      <c r="K28" s="200"/>
      <c r="L28" s="202">
        <v>0</v>
      </c>
      <c r="M28" s="200">
        <v>0</v>
      </c>
      <c r="N28" s="200"/>
      <c r="O28" s="202">
        <v>0</v>
      </c>
      <c r="P28" s="200">
        <v>0</v>
      </c>
      <c r="Q28" s="200"/>
      <c r="R28" s="200"/>
    </row>
    <row r="29" spans="1:18" ht="15.75" customHeight="1">
      <c r="A29" s="453" t="s">
        <v>295</v>
      </c>
      <c r="B29" s="39"/>
      <c r="C29" s="80"/>
      <c r="D29" s="82"/>
      <c r="E29" s="82"/>
      <c r="F29" s="82"/>
      <c r="G29" s="456"/>
      <c r="H29" s="379"/>
      <c r="I29" s="456"/>
      <c r="J29" s="130"/>
      <c r="K29" s="39"/>
      <c r="L29" s="130"/>
      <c r="M29" s="39"/>
      <c r="N29" s="446">
        <f>O29+P29</f>
        <v>536.2</v>
      </c>
      <c r="O29" s="330">
        <f>O30+O31</f>
        <v>520.1</v>
      </c>
      <c r="P29" s="446">
        <f>P30+P31</f>
        <v>16.1</v>
      </c>
      <c r="Q29" s="39"/>
      <c r="R29" s="290">
        <v>100</v>
      </c>
    </row>
    <row r="30" spans="1:18" s="22" customFormat="1" ht="34.5" customHeight="1">
      <c r="A30" s="457" t="s">
        <v>210</v>
      </c>
      <c r="B30" s="103"/>
      <c r="C30" s="378"/>
      <c r="D30" s="102"/>
      <c r="E30" s="102"/>
      <c r="F30" s="102"/>
      <c r="G30" s="103"/>
      <c r="H30" s="131"/>
      <c r="I30" s="103"/>
      <c r="J30" s="131"/>
      <c r="K30" s="103"/>
      <c r="L30" s="131"/>
      <c r="M30" s="103"/>
      <c r="N30" s="103"/>
      <c r="O30" s="458">
        <v>271.6</v>
      </c>
      <c r="P30" s="290">
        <v>8.4</v>
      </c>
      <c r="Q30" s="103"/>
      <c r="R30" s="290">
        <v>100</v>
      </c>
    </row>
    <row r="31" spans="1:18" s="147" customFormat="1" ht="23.25" customHeight="1">
      <c r="A31" s="457" t="s">
        <v>211</v>
      </c>
      <c r="B31" s="459"/>
      <c r="C31" s="459"/>
      <c r="D31" s="460"/>
      <c r="E31" s="460"/>
      <c r="F31" s="460"/>
      <c r="G31" s="459"/>
      <c r="H31" s="461"/>
      <c r="I31" s="459"/>
      <c r="J31" s="461"/>
      <c r="K31" s="459"/>
      <c r="L31" s="461"/>
      <c r="M31" s="459"/>
      <c r="N31" s="459"/>
      <c r="O31" s="292">
        <v>248.5</v>
      </c>
      <c r="P31" s="291">
        <v>7.7</v>
      </c>
      <c r="Q31" s="291"/>
      <c r="R31" s="291">
        <v>100</v>
      </c>
    </row>
    <row r="32" spans="1:18" ht="16.5" customHeight="1">
      <c r="A32" s="84" t="s">
        <v>311</v>
      </c>
      <c r="B32" s="39" t="s">
        <v>262</v>
      </c>
      <c r="C32" s="80" t="s">
        <v>231</v>
      </c>
      <c r="D32" s="82" t="s">
        <v>263</v>
      </c>
      <c r="E32" s="82" t="s">
        <v>256</v>
      </c>
      <c r="F32" s="82" t="s">
        <v>241</v>
      </c>
      <c r="G32" s="39">
        <f>SUM(H32+I32)</f>
        <v>135432.19999999998</v>
      </c>
      <c r="H32" s="130">
        <f aca="true" t="shared" si="3" ref="H32:M32">H33+H35+H37+H39+H40+H41+H44+H46+H48+H49+H50+H51+H52+H53+H54+H55+H56+H57</f>
        <v>131369.19999999998</v>
      </c>
      <c r="I32" s="39">
        <f t="shared" si="3"/>
        <v>4063.0000000000005</v>
      </c>
      <c r="J32" s="130">
        <f t="shared" si="3"/>
        <v>24945.5</v>
      </c>
      <c r="K32" s="39">
        <f t="shared" si="3"/>
        <v>0</v>
      </c>
      <c r="L32" s="130">
        <f t="shared" si="3"/>
        <v>2063.9</v>
      </c>
      <c r="M32" s="39">
        <f t="shared" si="3"/>
        <v>63.9</v>
      </c>
      <c r="N32" s="39">
        <f>SUM(O32+P32)</f>
        <v>2127.8</v>
      </c>
      <c r="O32" s="130">
        <f>O33+O35+O37+O39+O40+O41+O44+O46+O48+O49+O50+O51+O52+O53+O54+O55+O56+O57</f>
        <v>2063.9</v>
      </c>
      <c r="P32" s="39">
        <f>P33+P35+P37+P39+P40+P41+P44+P46+P48+P49+P50+P51+P52+P53+P54+P55+P56+P57</f>
        <v>63.9</v>
      </c>
      <c r="Q32" s="39">
        <f>L32/H32*100</f>
        <v>1.5710684087289868</v>
      </c>
      <c r="R32" s="39">
        <f>O32/L32*100</f>
        <v>100</v>
      </c>
    </row>
    <row r="33" spans="1:18" ht="24" customHeight="1">
      <c r="A33" s="672" t="s">
        <v>0</v>
      </c>
      <c r="B33" s="103"/>
      <c r="C33" s="378"/>
      <c r="D33" s="102"/>
      <c r="E33" s="102"/>
      <c r="F33" s="102"/>
      <c r="G33" s="103"/>
      <c r="H33" s="131">
        <v>8007.2</v>
      </c>
      <c r="I33" s="103">
        <v>247.6</v>
      </c>
      <c r="J33" s="131">
        <v>0</v>
      </c>
      <c r="K33" s="103"/>
      <c r="L33" s="131">
        <v>0</v>
      </c>
      <c r="M33" s="103">
        <v>0</v>
      </c>
      <c r="N33" s="103"/>
      <c r="O33" s="131">
        <v>0</v>
      </c>
      <c r="P33" s="103">
        <v>0</v>
      </c>
      <c r="Q33" s="103"/>
      <c r="R33" s="103"/>
    </row>
    <row r="34" spans="1:18" ht="15.75" customHeight="1">
      <c r="A34" s="672"/>
      <c r="B34" s="290"/>
      <c r="C34" s="336"/>
      <c r="D34" s="337"/>
      <c r="E34" s="337"/>
      <c r="F34" s="337"/>
      <c r="G34" s="290"/>
      <c r="H34" s="458"/>
      <c r="I34" s="290"/>
      <c r="J34" s="458"/>
      <c r="K34" s="290"/>
      <c r="L34" s="458"/>
      <c r="M34" s="290"/>
      <c r="N34" s="290"/>
      <c r="O34" s="458">
        <v>0</v>
      </c>
      <c r="P34" s="290">
        <v>0</v>
      </c>
      <c r="Q34" s="290"/>
      <c r="R34" s="290"/>
    </row>
    <row r="35" spans="1:18" ht="24" customHeight="1">
      <c r="A35" s="673" t="s">
        <v>7</v>
      </c>
      <c r="B35" s="103"/>
      <c r="C35" s="378"/>
      <c r="D35" s="102"/>
      <c r="E35" s="102"/>
      <c r="F35" s="102"/>
      <c r="G35" s="103"/>
      <c r="H35" s="131">
        <v>3075.4</v>
      </c>
      <c r="I35" s="103">
        <v>95.1</v>
      </c>
      <c r="J35" s="131">
        <v>0</v>
      </c>
      <c r="K35" s="103"/>
      <c r="L35" s="131">
        <v>0</v>
      </c>
      <c r="M35" s="103">
        <v>0</v>
      </c>
      <c r="N35" s="103"/>
      <c r="O35" s="131">
        <v>0</v>
      </c>
      <c r="P35" s="103">
        <v>0</v>
      </c>
      <c r="Q35" s="103"/>
      <c r="R35" s="103"/>
    </row>
    <row r="36" spans="1:18" s="149" customFormat="1" ht="16.5" customHeight="1">
      <c r="A36" s="673"/>
      <c r="B36" s="290"/>
      <c r="C36" s="336"/>
      <c r="D36" s="337"/>
      <c r="E36" s="337"/>
      <c r="F36" s="337"/>
      <c r="G36" s="290"/>
      <c r="H36" s="458"/>
      <c r="I36" s="290"/>
      <c r="J36" s="458"/>
      <c r="K36" s="290"/>
      <c r="L36" s="458"/>
      <c r="M36" s="290"/>
      <c r="N36" s="290"/>
      <c r="O36" s="458">
        <v>0</v>
      </c>
      <c r="P36" s="290">
        <v>0</v>
      </c>
      <c r="Q36" s="290"/>
      <c r="R36" s="290"/>
    </row>
    <row r="37" spans="1:18" ht="22.5" customHeight="1">
      <c r="A37" s="673" t="s">
        <v>8</v>
      </c>
      <c r="B37" s="103"/>
      <c r="C37" s="378"/>
      <c r="D37" s="102"/>
      <c r="E37" s="102"/>
      <c r="F37" s="102"/>
      <c r="G37" s="103"/>
      <c r="H37" s="131">
        <v>619.5</v>
      </c>
      <c r="I37" s="103">
        <v>19.2</v>
      </c>
      <c r="J37" s="131">
        <v>0</v>
      </c>
      <c r="K37" s="103"/>
      <c r="L37" s="131">
        <v>0</v>
      </c>
      <c r="M37" s="103">
        <v>0</v>
      </c>
      <c r="N37" s="103"/>
      <c r="O37" s="131">
        <v>0</v>
      </c>
      <c r="P37" s="103">
        <v>0</v>
      </c>
      <c r="Q37" s="103"/>
      <c r="R37" s="103"/>
    </row>
    <row r="38" spans="1:18" ht="18" customHeight="1" outlineLevel="1">
      <c r="A38" s="673"/>
      <c r="B38" s="290"/>
      <c r="C38" s="336"/>
      <c r="D38" s="337"/>
      <c r="E38" s="337"/>
      <c r="F38" s="337"/>
      <c r="G38" s="290"/>
      <c r="H38" s="458"/>
      <c r="I38" s="290"/>
      <c r="J38" s="458"/>
      <c r="K38" s="290"/>
      <c r="L38" s="458"/>
      <c r="M38" s="290"/>
      <c r="N38" s="290"/>
      <c r="O38" s="458">
        <v>0</v>
      </c>
      <c r="P38" s="290">
        <v>0</v>
      </c>
      <c r="Q38" s="290"/>
      <c r="R38" s="290"/>
    </row>
    <row r="39" spans="1:18" ht="27.75" customHeight="1">
      <c r="A39" s="452" t="s">
        <v>487</v>
      </c>
      <c r="B39" s="103"/>
      <c r="C39" s="378"/>
      <c r="D39" s="102"/>
      <c r="E39" s="102"/>
      <c r="F39" s="102"/>
      <c r="G39" s="103"/>
      <c r="H39" s="131">
        <v>7257.4</v>
      </c>
      <c r="I39" s="103">
        <v>224.5</v>
      </c>
      <c r="J39" s="131">
        <v>0</v>
      </c>
      <c r="K39" s="103"/>
      <c r="L39" s="131">
        <v>0</v>
      </c>
      <c r="M39" s="103">
        <v>0</v>
      </c>
      <c r="N39" s="103"/>
      <c r="O39" s="131">
        <v>0</v>
      </c>
      <c r="P39" s="103">
        <v>0</v>
      </c>
      <c r="Q39" s="103"/>
      <c r="R39" s="103"/>
    </row>
    <row r="40" spans="1:18" s="22" customFormat="1" ht="26.25" customHeight="1">
      <c r="A40" s="452" t="s">
        <v>488</v>
      </c>
      <c r="B40" s="103"/>
      <c r="C40" s="378"/>
      <c r="D40" s="102"/>
      <c r="E40" s="102"/>
      <c r="F40" s="102"/>
      <c r="G40" s="103"/>
      <c r="H40" s="131">
        <v>7561.4</v>
      </c>
      <c r="I40" s="103">
        <v>233.9</v>
      </c>
      <c r="J40" s="131">
        <v>0</v>
      </c>
      <c r="K40" s="103"/>
      <c r="L40" s="131">
        <v>0</v>
      </c>
      <c r="M40" s="103">
        <v>0</v>
      </c>
      <c r="N40" s="103"/>
      <c r="O40" s="131">
        <v>0</v>
      </c>
      <c r="P40" s="103">
        <v>0</v>
      </c>
      <c r="Q40" s="103"/>
      <c r="R40" s="103"/>
    </row>
    <row r="41" spans="1:18" ht="18" customHeight="1">
      <c r="A41" s="452" t="s">
        <v>171</v>
      </c>
      <c r="B41" s="103"/>
      <c r="C41" s="378"/>
      <c r="D41" s="102"/>
      <c r="E41" s="102"/>
      <c r="F41" s="102"/>
      <c r="G41" s="103"/>
      <c r="H41" s="131">
        <f>H42+H43</f>
        <v>14135.3</v>
      </c>
      <c r="I41" s="103">
        <f>I42+I43</f>
        <v>437.2</v>
      </c>
      <c r="J41" s="131">
        <f>J42+J43</f>
        <v>0</v>
      </c>
      <c r="K41" s="103"/>
      <c r="L41" s="131">
        <f>L42+L43</f>
        <v>0</v>
      </c>
      <c r="M41" s="103">
        <f>M42+M43</f>
        <v>0</v>
      </c>
      <c r="N41" s="103"/>
      <c r="O41" s="131">
        <f>O42+O43</f>
        <v>0</v>
      </c>
      <c r="P41" s="103">
        <f>P42+P43</f>
        <v>0</v>
      </c>
      <c r="Q41" s="103"/>
      <c r="R41" s="103"/>
    </row>
    <row r="42" spans="1:18" s="234" customFormat="1" ht="37.5" customHeight="1">
      <c r="A42" s="554" t="s">
        <v>172</v>
      </c>
      <c r="B42" s="244"/>
      <c r="C42" s="245"/>
      <c r="D42" s="246"/>
      <c r="E42" s="246"/>
      <c r="F42" s="246"/>
      <c r="G42" s="244"/>
      <c r="H42" s="313">
        <v>8135.3</v>
      </c>
      <c r="I42" s="311">
        <v>251.6</v>
      </c>
      <c r="J42" s="313">
        <v>0</v>
      </c>
      <c r="K42" s="311"/>
      <c r="L42" s="313">
        <v>0</v>
      </c>
      <c r="M42" s="311">
        <v>0</v>
      </c>
      <c r="N42" s="311"/>
      <c r="O42" s="313">
        <v>0</v>
      </c>
      <c r="P42" s="311">
        <v>0</v>
      </c>
      <c r="Q42" s="311"/>
      <c r="R42" s="311"/>
    </row>
    <row r="43" spans="1:18" s="234" customFormat="1" ht="24" customHeight="1">
      <c r="A43" s="550" t="s">
        <v>173</v>
      </c>
      <c r="B43" s="244"/>
      <c r="C43" s="245"/>
      <c r="D43" s="246"/>
      <c r="E43" s="246"/>
      <c r="F43" s="246"/>
      <c r="G43" s="244"/>
      <c r="H43" s="313">
        <v>6000</v>
      </c>
      <c r="I43" s="311">
        <v>185.6</v>
      </c>
      <c r="J43" s="313">
        <v>0</v>
      </c>
      <c r="K43" s="311"/>
      <c r="L43" s="313">
        <v>0</v>
      </c>
      <c r="M43" s="311">
        <v>0</v>
      </c>
      <c r="N43" s="311"/>
      <c r="O43" s="313">
        <v>0</v>
      </c>
      <c r="P43" s="311">
        <v>0</v>
      </c>
      <c r="Q43" s="311"/>
      <c r="R43" s="311"/>
    </row>
    <row r="44" spans="1:18" ht="29.25" customHeight="1">
      <c r="A44" s="672" t="s">
        <v>9</v>
      </c>
      <c r="B44" s="103"/>
      <c r="C44" s="378"/>
      <c r="D44" s="102"/>
      <c r="E44" s="102"/>
      <c r="F44" s="102"/>
      <c r="G44" s="103"/>
      <c r="H44" s="131">
        <v>5396.4</v>
      </c>
      <c r="I44" s="103">
        <v>166.9</v>
      </c>
      <c r="J44" s="131">
        <v>3200</v>
      </c>
      <c r="K44" s="103"/>
      <c r="L44" s="131">
        <v>2063.9</v>
      </c>
      <c r="M44" s="103">
        <v>63.9</v>
      </c>
      <c r="N44" s="103"/>
      <c r="O44" s="131">
        <v>2063.9</v>
      </c>
      <c r="P44" s="103">
        <v>63.9</v>
      </c>
      <c r="Q44" s="103"/>
      <c r="R44" s="103"/>
    </row>
    <row r="45" spans="1:18" ht="18" customHeight="1">
      <c r="A45" s="672"/>
      <c r="B45" s="290"/>
      <c r="C45" s="336"/>
      <c r="D45" s="337"/>
      <c r="E45" s="337"/>
      <c r="F45" s="337"/>
      <c r="G45" s="290"/>
      <c r="H45" s="458"/>
      <c r="I45" s="290"/>
      <c r="J45" s="458"/>
      <c r="K45" s="290"/>
      <c r="L45" s="458"/>
      <c r="M45" s="290"/>
      <c r="N45" s="290"/>
      <c r="O45" s="458">
        <v>2603.4</v>
      </c>
      <c r="P45" s="290">
        <v>80.5</v>
      </c>
      <c r="Q45" s="290"/>
      <c r="R45" s="290"/>
    </row>
    <row r="46" spans="1:18" ht="49.5" customHeight="1">
      <c r="A46" s="672" t="s">
        <v>10</v>
      </c>
      <c r="B46" s="103"/>
      <c r="C46" s="378"/>
      <c r="D46" s="102"/>
      <c r="E46" s="102"/>
      <c r="F46" s="102"/>
      <c r="G46" s="103"/>
      <c r="H46" s="131">
        <v>38743.9</v>
      </c>
      <c r="I46" s="103">
        <v>1198.3</v>
      </c>
      <c r="J46" s="131">
        <v>15500</v>
      </c>
      <c r="K46" s="103"/>
      <c r="L46" s="131">
        <v>0</v>
      </c>
      <c r="M46" s="103">
        <v>0</v>
      </c>
      <c r="N46" s="103"/>
      <c r="O46" s="131">
        <v>0</v>
      </c>
      <c r="P46" s="103">
        <v>0</v>
      </c>
      <c r="Q46" s="103"/>
      <c r="R46" s="103"/>
    </row>
    <row r="47" spans="1:18" ht="14.25" customHeight="1">
      <c r="A47" s="672"/>
      <c r="B47" s="290"/>
      <c r="C47" s="336"/>
      <c r="D47" s="337"/>
      <c r="E47" s="337"/>
      <c r="F47" s="337"/>
      <c r="G47" s="290"/>
      <c r="H47" s="458"/>
      <c r="I47" s="290"/>
      <c r="J47" s="458"/>
      <c r="K47" s="290"/>
      <c r="L47" s="458"/>
      <c r="M47" s="290"/>
      <c r="N47" s="290"/>
      <c r="O47" s="458">
        <v>23014</v>
      </c>
      <c r="P47" s="290">
        <v>711.8</v>
      </c>
      <c r="Q47" s="290"/>
      <c r="R47" s="290"/>
    </row>
    <row r="48" spans="1:18" s="22" customFormat="1" ht="42.75" customHeight="1">
      <c r="A48" s="452" t="s">
        <v>489</v>
      </c>
      <c r="B48" s="103"/>
      <c r="C48" s="378"/>
      <c r="D48" s="102"/>
      <c r="E48" s="102"/>
      <c r="F48" s="102"/>
      <c r="G48" s="103"/>
      <c r="H48" s="131">
        <v>11945.5</v>
      </c>
      <c r="I48" s="103">
        <v>369.4</v>
      </c>
      <c r="J48" s="131">
        <v>2245.5</v>
      </c>
      <c r="K48" s="103"/>
      <c r="L48" s="131">
        <v>0</v>
      </c>
      <c r="M48" s="103">
        <v>0</v>
      </c>
      <c r="N48" s="103"/>
      <c r="O48" s="131">
        <v>0</v>
      </c>
      <c r="P48" s="103">
        <v>0</v>
      </c>
      <c r="Q48" s="103"/>
      <c r="R48" s="103"/>
    </row>
    <row r="49" spans="1:18" s="22" customFormat="1" ht="42.75" customHeight="1">
      <c r="A49" s="452" t="s">
        <v>490</v>
      </c>
      <c r="B49" s="103"/>
      <c r="C49" s="378"/>
      <c r="D49" s="102"/>
      <c r="E49" s="102"/>
      <c r="F49" s="102"/>
      <c r="G49" s="103"/>
      <c r="H49" s="131">
        <v>16371.9</v>
      </c>
      <c r="I49" s="103">
        <v>506.3</v>
      </c>
      <c r="J49" s="131">
        <v>4000</v>
      </c>
      <c r="K49" s="103"/>
      <c r="L49" s="131">
        <v>0</v>
      </c>
      <c r="M49" s="103">
        <v>0</v>
      </c>
      <c r="N49" s="103"/>
      <c r="O49" s="131">
        <v>0</v>
      </c>
      <c r="P49" s="103">
        <v>0</v>
      </c>
      <c r="Q49" s="103"/>
      <c r="R49" s="103"/>
    </row>
    <row r="50" spans="1:18" s="22" customFormat="1" ht="42.75" customHeight="1">
      <c r="A50" s="452" t="s">
        <v>1</v>
      </c>
      <c r="B50" s="103"/>
      <c r="C50" s="378"/>
      <c r="D50" s="102"/>
      <c r="E50" s="102"/>
      <c r="F50" s="102"/>
      <c r="G50" s="103"/>
      <c r="H50" s="131">
        <v>751.4</v>
      </c>
      <c r="I50" s="103">
        <v>23.2</v>
      </c>
      <c r="J50" s="131">
        <v>0</v>
      </c>
      <c r="K50" s="103"/>
      <c r="L50" s="131">
        <v>0</v>
      </c>
      <c r="M50" s="103">
        <v>0</v>
      </c>
      <c r="N50" s="103"/>
      <c r="O50" s="131">
        <v>0</v>
      </c>
      <c r="P50" s="103">
        <v>0</v>
      </c>
      <c r="Q50" s="103"/>
      <c r="R50" s="103"/>
    </row>
    <row r="51" spans="1:18" s="22" customFormat="1" ht="42.75" customHeight="1">
      <c r="A51" s="452" t="s">
        <v>491</v>
      </c>
      <c r="B51" s="103"/>
      <c r="C51" s="378"/>
      <c r="D51" s="102"/>
      <c r="E51" s="102"/>
      <c r="F51" s="102"/>
      <c r="G51" s="103"/>
      <c r="H51" s="131">
        <v>1804.4</v>
      </c>
      <c r="I51" s="103">
        <v>55.8</v>
      </c>
      <c r="J51" s="131">
        <v>0</v>
      </c>
      <c r="K51" s="103"/>
      <c r="L51" s="131">
        <v>0</v>
      </c>
      <c r="M51" s="103">
        <v>0</v>
      </c>
      <c r="N51" s="103"/>
      <c r="O51" s="131">
        <v>0</v>
      </c>
      <c r="P51" s="103">
        <v>0</v>
      </c>
      <c r="Q51" s="103"/>
      <c r="R51" s="103"/>
    </row>
    <row r="52" spans="1:18" s="22" customFormat="1" ht="42.75" customHeight="1">
      <c r="A52" s="452" t="s">
        <v>492</v>
      </c>
      <c r="B52" s="103"/>
      <c r="C52" s="378"/>
      <c r="D52" s="102"/>
      <c r="E52" s="102"/>
      <c r="F52" s="102"/>
      <c r="G52" s="103"/>
      <c r="H52" s="131">
        <v>3422.9</v>
      </c>
      <c r="I52" s="103">
        <v>105.9</v>
      </c>
      <c r="J52" s="131">
        <v>0</v>
      </c>
      <c r="K52" s="103"/>
      <c r="L52" s="131">
        <v>0</v>
      </c>
      <c r="M52" s="103">
        <v>0</v>
      </c>
      <c r="N52" s="103"/>
      <c r="O52" s="131">
        <v>0</v>
      </c>
      <c r="P52" s="103">
        <v>0</v>
      </c>
      <c r="Q52" s="103"/>
      <c r="R52" s="103"/>
    </row>
    <row r="53" spans="1:18" s="22" customFormat="1" ht="42.75" customHeight="1">
      <c r="A53" s="452" t="s">
        <v>493</v>
      </c>
      <c r="B53" s="103"/>
      <c r="C53" s="378"/>
      <c r="D53" s="102"/>
      <c r="E53" s="102"/>
      <c r="F53" s="102"/>
      <c r="G53" s="103"/>
      <c r="H53" s="131">
        <v>2419.9</v>
      </c>
      <c r="I53" s="103">
        <v>74.8</v>
      </c>
      <c r="J53" s="131">
        <v>0</v>
      </c>
      <c r="K53" s="103"/>
      <c r="L53" s="131">
        <v>0</v>
      </c>
      <c r="M53" s="103">
        <v>0</v>
      </c>
      <c r="N53" s="103"/>
      <c r="O53" s="131">
        <v>0</v>
      </c>
      <c r="P53" s="103">
        <v>0</v>
      </c>
      <c r="Q53" s="103"/>
      <c r="R53" s="103"/>
    </row>
    <row r="54" spans="1:18" s="22" customFormat="1" ht="42.75" customHeight="1">
      <c r="A54" s="452" t="s">
        <v>494</v>
      </c>
      <c r="B54" s="103"/>
      <c r="C54" s="378"/>
      <c r="D54" s="102"/>
      <c r="E54" s="102"/>
      <c r="F54" s="102"/>
      <c r="G54" s="103"/>
      <c r="H54" s="131">
        <v>836.6</v>
      </c>
      <c r="I54" s="103">
        <v>25.9</v>
      </c>
      <c r="J54" s="131">
        <v>0</v>
      </c>
      <c r="K54" s="103"/>
      <c r="L54" s="131">
        <v>0</v>
      </c>
      <c r="M54" s="103">
        <v>0</v>
      </c>
      <c r="N54" s="103"/>
      <c r="O54" s="131">
        <v>0</v>
      </c>
      <c r="P54" s="103">
        <v>0</v>
      </c>
      <c r="Q54" s="103"/>
      <c r="R54" s="103"/>
    </row>
    <row r="55" spans="1:18" s="22" customFormat="1" ht="28.5" customHeight="1">
      <c r="A55" s="452" t="s">
        <v>495</v>
      </c>
      <c r="B55" s="103"/>
      <c r="C55" s="378"/>
      <c r="D55" s="102"/>
      <c r="E55" s="102"/>
      <c r="F55" s="102"/>
      <c r="G55" s="103"/>
      <c r="H55" s="131">
        <v>2701.5</v>
      </c>
      <c r="I55" s="103">
        <v>83.6</v>
      </c>
      <c r="J55" s="131">
        <v>0</v>
      </c>
      <c r="K55" s="103"/>
      <c r="L55" s="131">
        <v>0</v>
      </c>
      <c r="M55" s="103">
        <v>0</v>
      </c>
      <c r="N55" s="103"/>
      <c r="O55" s="131">
        <v>0</v>
      </c>
      <c r="P55" s="103">
        <v>0</v>
      </c>
      <c r="Q55" s="103"/>
      <c r="R55" s="103"/>
    </row>
    <row r="56" spans="1:18" ht="22.5" customHeight="1">
      <c r="A56" s="452" t="s">
        <v>496</v>
      </c>
      <c r="B56" s="39"/>
      <c r="C56" s="80"/>
      <c r="D56" s="82"/>
      <c r="E56" s="82"/>
      <c r="F56" s="82"/>
      <c r="G56" s="39"/>
      <c r="H56" s="131">
        <v>5578.9</v>
      </c>
      <c r="I56" s="103">
        <v>172.5</v>
      </c>
      <c r="J56" s="131">
        <v>0</v>
      </c>
      <c r="K56" s="103"/>
      <c r="L56" s="131">
        <v>0</v>
      </c>
      <c r="M56" s="103">
        <v>0</v>
      </c>
      <c r="N56" s="103"/>
      <c r="O56" s="131">
        <v>0</v>
      </c>
      <c r="P56" s="103">
        <v>0</v>
      </c>
      <c r="Q56" s="103"/>
      <c r="R56" s="103"/>
    </row>
    <row r="57" spans="1:18" ht="33.75" customHeight="1">
      <c r="A57" s="452" t="s">
        <v>497</v>
      </c>
      <c r="B57" s="39"/>
      <c r="C57" s="80"/>
      <c r="D57" s="82"/>
      <c r="E57" s="82"/>
      <c r="F57" s="82"/>
      <c r="G57" s="39"/>
      <c r="H57" s="131">
        <v>739.7</v>
      </c>
      <c r="I57" s="103">
        <v>22.9</v>
      </c>
      <c r="J57" s="131">
        <v>0</v>
      </c>
      <c r="K57" s="103"/>
      <c r="L57" s="131">
        <v>0</v>
      </c>
      <c r="M57" s="103">
        <v>0</v>
      </c>
      <c r="N57" s="103"/>
      <c r="O57" s="131">
        <v>0</v>
      </c>
      <c r="P57" s="103">
        <v>0</v>
      </c>
      <c r="Q57" s="103"/>
      <c r="R57" s="103"/>
    </row>
    <row r="58" spans="1:18" ht="16.5" customHeight="1">
      <c r="A58" s="41" t="s">
        <v>174</v>
      </c>
      <c r="B58" s="39" t="s">
        <v>262</v>
      </c>
      <c r="C58" s="80" t="s">
        <v>231</v>
      </c>
      <c r="D58" s="82" t="s">
        <v>263</v>
      </c>
      <c r="E58" s="82" t="s">
        <v>256</v>
      </c>
      <c r="F58" s="82" t="s">
        <v>241</v>
      </c>
      <c r="G58" s="39">
        <f>SUM(H58+I58)</f>
        <v>1427.8</v>
      </c>
      <c r="H58" s="130">
        <f>H59</f>
        <v>1385</v>
      </c>
      <c r="I58" s="39">
        <f>I59</f>
        <v>42.8</v>
      </c>
      <c r="J58" s="130">
        <f>J59</f>
        <v>0</v>
      </c>
      <c r="K58" s="39">
        <f>K60+K62+K64+K66+K67+K68+K71+K73+K75+K76+K77+K78+K79+K80+K81+K82+K83+K84</f>
        <v>0</v>
      </c>
      <c r="L58" s="130">
        <f>L59</f>
        <v>0</v>
      </c>
      <c r="M58" s="39">
        <f>M59</f>
        <v>0</v>
      </c>
      <c r="N58" s="39">
        <f>SUM(O58+P58)</f>
        <v>0</v>
      </c>
      <c r="O58" s="130">
        <f>O59</f>
        <v>0</v>
      </c>
      <c r="P58" s="39">
        <f>P59</f>
        <v>0</v>
      </c>
      <c r="Q58" s="39"/>
      <c r="R58" s="39"/>
    </row>
    <row r="59" spans="1:18" s="29" customFormat="1" ht="39" customHeight="1">
      <c r="A59" s="546" t="s">
        <v>175</v>
      </c>
      <c r="B59" s="112"/>
      <c r="C59" s="240"/>
      <c r="D59" s="156"/>
      <c r="E59" s="156"/>
      <c r="F59" s="156"/>
      <c r="G59" s="112"/>
      <c r="H59" s="247">
        <v>1385</v>
      </c>
      <c r="I59" s="112">
        <v>42.8</v>
      </c>
      <c r="J59" s="247">
        <v>0</v>
      </c>
      <c r="K59" s="112"/>
      <c r="L59" s="247">
        <v>0</v>
      </c>
      <c r="M59" s="112">
        <v>0</v>
      </c>
      <c r="N59" s="112"/>
      <c r="O59" s="247">
        <v>0</v>
      </c>
      <c r="P59" s="112">
        <v>0</v>
      </c>
      <c r="Q59" s="112"/>
      <c r="R59" s="112"/>
    </row>
    <row r="60" spans="1:18" s="395" customFormat="1" ht="17.25" customHeight="1">
      <c r="A60" s="462" t="s">
        <v>11</v>
      </c>
      <c r="B60" s="329"/>
      <c r="C60" s="463"/>
      <c r="D60" s="464"/>
      <c r="E60" s="464"/>
      <c r="F60" s="464"/>
      <c r="G60" s="329"/>
      <c r="H60" s="330"/>
      <c r="I60" s="329"/>
      <c r="J60" s="330"/>
      <c r="K60" s="329"/>
      <c r="L60" s="330"/>
      <c r="M60" s="329"/>
      <c r="N60" s="329"/>
      <c r="O60" s="330">
        <f>O61+O62+O63+O64</f>
        <v>0</v>
      </c>
      <c r="P60" s="329">
        <f>P61+P62+P63+P64</f>
        <v>0</v>
      </c>
      <c r="Q60" s="329"/>
      <c r="R60" s="329"/>
    </row>
    <row r="61" spans="1:18" s="149" customFormat="1" ht="12.75" customHeight="1">
      <c r="A61" s="465" t="s">
        <v>12</v>
      </c>
      <c r="B61" s="290"/>
      <c r="C61" s="336"/>
      <c r="D61" s="337"/>
      <c r="E61" s="337"/>
      <c r="F61" s="337"/>
      <c r="G61" s="290"/>
      <c r="H61" s="458"/>
      <c r="I61" s="290"/>
      <c r="J61" s="458"/>
      <c r="K61" s="290"/>
      <c r="L61" s="458"/>
      <c r="M61" s="290"/>
      <c r="N61" s="290"/>
      <c r="O61" s="458">
        <v>0</v>
      </c>
      <c r="P61" s="290">
        <v>0</v>
      </c>
      <c r="Q61" s="290"/>
      <c r="R61" s="290"/>
    </row>
    <row r="62" spans="1:18" s="149" customFormat="1" ht="12.75" customHeight="1">
      <c r="A62" s="465" t="s">
        <v>13</v>
      </c>
      <c r="B62" s="290"/>
      <c r="C62" s="336"/>
      <c r="D62" s="337"/>
      <c r="E62" s="337"/>
      <c r="F62" s="337"/>
      <c r="G62" s="290"/>
      <c r="H62" s="458"/>
      <c r="I62" s="290"/>
      <c r="J62" s="458"/>
      <c r="K62" s="290"/>
      <c r="L62" s="458"/>
      <c r="M62" s="290"/>
      <c r="N62" s="290"/>
      <c r="O62" s="458">
        <v>0</v>
      </c>
      <c r="P62" s="290">
        <v>0</v>
      </c>
      <c r="Q62" s="290"/>
      <c r="R62" s="290"/>
    </row>
    <row r="63" spans="1:18" s="149" customFormat="1" ht="12.75" customHeight="1">
      <c r="A63" s="290" t="s">
        <v>14</v>
      </c>
      <c r="B63" s="290"/>
      <c r="C63" s="336"/>
      <c r="D63" s="337"/>
      <c r="E63" s="337"/>
      <c r="F63" s="337"/>
      <c r="G63" s="290"/>
      <c r="H63" s="458"/>
      <c r="I63" s="290"/>
      <c r="J63" s="458"/>
      <c r="K63" s="290"/>
      <c r="L63" s="458"/>
      <c r="M63" s="290"/>
      <c r="N63" s="290"/>
      <c r="O63" s="458">
        <v>0</v>
      </c>
      <c r="P63" s="290">
        <v>0</v>
      </c>
      <c r="Q63" s="290"/>
      <c r="R63" s="290"/>
    </row>
    <row r="64" spans="1:18" ht="12.75" customHeight="1">
      <c r="A64" s="290" t="s">
        <v>15</v>
      </c>
      <c r="B64" s="39"/>
      <c r="C64" s="80"/>
      <c r="D64" s="82"/>
      <c r="E64" s="82"/>
      <c r="F64" s="82"/>
      <c r="G64" s="39"/>
      <c r="H64" s="131"/>
      <c r="I64" s="103"/>
      <c r="J64" s="131"/>
      <c r="K64" s="103"/>
      <c r="L64" s="131"/>
      <c r="M64" s="103"/>
      <c r="N64" s="103"/>
      <c r="O64" s="458">
        <v>0</v>
      </c>
      <c r="P64" s="290">
        <v>0</v>
      </c>
      <c r="Q64" s="103"/>
      <c r="R64" s="103"/>
    </row>
    <row r="65" spans="1:18" ht="40.5">
      <c r="A65" s="94" t="s">
        <v>267</v>
      </c>
      <c r="B65" s="39" t="s">
        <v>262</v>
      </c>
      <c r="C65" s="82" t="s">
        <v>268</v>
      </c>
      <c r="D65" s="39"/>
      <c r="E65" s="81"/>
      <c r="F65" s="81"/>
      <c r="G65" s="40">
        <f aca="true" t="shared" si="4" ref="G65:H67">SUM(G66)</f>
        <v>354</v>
      </c>
      <c r="H65" s="132">
        <f t="shared" si="4"/>
        <v>354</v>
      </c>
      <c r="I65" s="39"/>
      <c r="J65" s="132">
        <f aca="true" t="shared" si="5" ref="J65:L67">SUM(J66)</f>
        <v>177</v>
      </c>
      <c r="K65" s="40">
        <f t="shared" si="5"/>
        <v>0</v>
      </c>
      <c r="L65" s="132">
        <f t="shared" si="5"/>
        <v>0</v>
      </c>
      <c r="M65" s="39"/>
      <c r="N65" s="40">
        <f aca="true" t="shared" si="6" ref="N65:O67">SUM(N66)</f>
        <v>0</v>
      </c>
      <c r="O65" s="132">
        <f t="shared" si="6"/>
        <v>0</v>
      </c>
      <c r="P65" s="39"/>
      <c r="Q65" s="40">
        <f>SUM(L65/J65)*100</f>
        <v>0</v>
      </c>
      <c r="R65" s="40">
        <v>0</v>
      </c>
    </row>
    <row r="66" spans="1:18" ht="12.75">
      <c r="A66" s="39" t="s">
        <v>270</v>
      </c>
      <c r="B66" s="39" t="s">
        <v>262</v>
      </c>
      <c r="C66" s="82" t="s">
        <v>268</v>
      </c>
      <c r="D66" s="82" t="s">
        <v>269</v>
      </c>
      <c r="E66" s="81"/>
      <c r="F66" s="81"/>
      <c r="G66" s="39">
        <f t="shared" si="4"/>
        <v>354</v>
      </c>
      <c r="H66" s="130">
        <f t="shared" si="4"/>
        <v>354</v>
      </c>
      <c r="I66" s="39"/>
      <c r="J66" s="130">
        <f t="shared" si="5"/>
        <v>177</v>
      </c>
      <c r="K66" s="39">
        <f t="shared" si="5"/>
        <v>0</v>
      </c>
      <c r="L66" s="130">
        <f t="shared" si="5"/>
        <v>0</v>
      </c>
      <c r="M66" s="39"/>
      <c r="N66" s="39">
        <f t="shared" si="6"/>
        <v>0</v>
      </c>
      <c r="O66" s="130">
        <f t="shared" si="6"/>
        <v>0</v>
      </c>
      <c r="P66" s="39"/>
      <c r="Q66" s="39"/>
      <c r="R66" s="39"/>
    </row>
    <row r="67" spans="1:18" ht="12.75" customHeight="1">
      <c r="A67" s="41" t="s">
        <v>272</v>
      </c>
      <c r="B67" s="39" t="s">
        <v>262</v>
      </c>
      <c r="C67" s="82" t="s">
        <v>268</v>
      </c>
      <c r="D67" s="82" t="s">
        <v>269</v>
      </c>
      <c r="E67" s="82" t="s">
        <v>271</v>
      </c>
      <c r="F67" s="81"/>
      <c r="G67" s="39">
        <f t="shared" si="4"/>
        <v>354</v>
      </c>
      <c r="H67" s="130">
        <f t="shared" si="4"/>
        <v>354</v>
      </c>
      <c r="I67" s="39"/>
      <c r="J67" s="130">
        <f t="shared" si="5"/>
        <v>177</v>
      </c>
      <c r="K67" s="39">
        <f t="shared" si="5"/>
        <v>0</v>
      </c>
      <c r="L67" s="130">
        <f t="shared" si="5"/>
        <v>0</v>
      </c>
      <c r="M67" s="39"/>
      <c r="N67" s="39">
        <f t="shared" si="6"/>
        <v>0</v>
      </c>
      <c r="O67" s="130">
        <f t="shared" si="6"/>
        <v>0</v>
      </c>
      <c r="P67" s="39"/>
      <c r="Q67" s="39"/>
      <c r="R67" s="39"/>
    </row>
    <row r="68" spans="1:18" ht="12.75">
      <c r="A68" s="41" t="s">
        <v>248</v>
      </c>
      <c r="B68" s="39" t="s">
        <v>262</v>
      </c>
      <c r="C68" s="82" t="s">
        <v>268</v>
      </c>
      <c r="D68" s="82" t="s">
        <v>269</v>
      </c>
      <c r="E68" s="82" t="s">
        <v>271</v>
      </c>
      <c r="F68" s="82" t="s">
        <v>249</v>
      </c>
      <c r="G68" s="39">
        <f>SUM(H68+I68)</f>
        <v>354</v>
      </c>
      <c r="H68" s="130">
        <f>H69+H70</f>
        <v>354</v>
      </c>
      <c r="I68" s="39"/>
      <c r="J68" s="130">
        <f>J69+J70</f>
        <v>177</v>
      </c>
      <c r="K68" s="39">
        <f>SUM(L68+M68)</f>
        <v>0</v>
      </c>
      <c r="L68" s="130">
        <f>L69+L70</f>
        <v>0</v>
      </c>
      <c r="M68" s="39"/>
      <c r="N68" s="39">
        <f>SUM(O68+P68)</f>
        <v>0</v>
      </c>
      <c r="O68" s="130">
        <f>O69+O70</f>
        <v>0</v>
      </c>
      <c r="P68" s="39"/>
      <c r="Q68" s="39">
        <f>SUM(L68/J68)*100</f>
        <v>0</v>
      </c>
      <c r="R68" s="39">
        <v>0</v>
      </c>
    </row>
    <row r="69" spans="1:18" ht="24">
      <c r="A69" s="466" t="s">
        <v>18</v>
      </c>
      <c r="B69" s="39"/>
      <c r="C69" s="81"/>
      <c r="D69" s="39"/>
      <c r="E69" s="81"/>
      <c r="F69" s="81"/>
      <c r="G69" s="39"/>
      <c r="H69" s="247">
        <v>177</v>
      </c>
      <c r="I69" s="112"/>
      <c r="J69" s="247">
        <v>0</v>
      </c>
      <c r="K69" s="112"/>
      <c r="L69" s="247">
        <v>0</v>
      </c>
      <c r="M69" s="39"/>
      <c r="N69" s="39"/>
      <c r="O69" s="247">
        <v>0</v>
      </c>
      <c r="P69" s="39"/>
      <c r="Q69" s="39"/>
      <c r="R69" s="39"/>
    </row>
    <row r="70" spans="1:18" ht="36">
      <c r="A70" s="467" t="s">
        <v>17</v>
      </c>
      <c r="B70" s="39"/>
      <c r="C70" s="81"/>
      <c r="D70" s="39"/>
      <c r="E70" s="81"/>
      <c r="F70" s="81"/>
      <c r="G70" s="39"/>
      <c r="H70" s="247">
        <v>177</v>
      </c>
      <c r="I70" s="112"/>
      <c r="J70" s="247">
        <v>177</v>
      </c>
      <c r="K70" s="112"/>
      <c r="L70" s="247">
        <v>0</v>
      </c>
      <c r="M70" s="39"/>
      <c r="N70" s="39"/>
      <c r="O70" s="247">
        <v>0</v>
      </c>
      <c r="P70" s="39"/>
      <c r="Q70" s="39"/>
      <c r="R70" s="39"/>
    </row>
    <row r="71" spans="1:18" ht="27">
      <c r="A71" s="92" t="s">
        <v>142</v>
      </c>
      <c r="B71" s="39" t="s">
        <v>262</v>
      </c>
      <c r="C71" s="80" t="s">
        <v>252</v>
      </c>
      <c r="D71" s="82"/>
      <c r="E71" s="81"/>
      <c r="F71" s="81"/>
      <c r="G71" s="40">
        <f>H71+I71</f>
        <v>1939.7</v>
      </c>
      <c r="H71" s="132">
        <f>H72</f>
        <v>1939.7</v>
      </c>
      <c r="I71" s="40"/>
      <c r="J71" s="132">
        <f>J72</f>
        <v>0</v>
      </c>
      <c r="K71" s="40"/>
      <c r="L71" s="132">
        <f>L72</f>
        <v>0</v>
      </c>
      <c r="M71" s="40"/>
      <c r="N71" s="40"/>
      <c r="O71" s="132">
        <f>O72</f>
        <v>0</v>
      </c>
      <c r="P71" s="40"/>
      <c r="Q71" s="40"/>
      <c r="R71" s="40"/>
    </row>
    <row r="72" spans="1:18" ht="12.75">
      <c r="A72" s="95" t="s">
        <v>255</v>
      </c>
      <c r="B72" s="39" t="s">
        <v>262</v>
      </c>
      <c r="C72" s="80" t="s">
        <v>252</v>
      </c>
      <c r="D72" s="82" t="s">
        <v>253</v>
      </c>
      <c r="E72" s="81"/>
      <c r="F72" s="81"/>
      <c r="G72" s="39">
        <f>G73</f>
        <v>1939.7</v>
      </c>
      <c r="H72" s="130">
        <f>H73</f>
        <v>1939.7</v>
      </c>
      <c r="I72" s="39"/>
      <c r="J72" s="130">
        <f>J73</f>
        <v>0</v>
      </c>
      <c r="K72" s="39"/>
      <c r="L72" s="130">
        <f>L73</f>
        <v>0</v>
      </c>
      <c r="M72" s="39"/>
      <c r="N72" s="39"/>
      <c r="O72" s="130">
        <f>O73</f>
        <v>0</v>
      </c>
      <c r="P72" s="39"/>
      <c r="Q72" s="39"/>
      <c r="R72" s="39"/>
    </row>
    <row r="73" spans="1:18" ht="14.25" customHeight="1">
      <c r="A73" s="41" t="s">
        <v>143</v>
      </c>
      <c r="B73" s="39" t="s">
        <v>262</v>
      </c>
      <c r="C73" s="80" t="s">
        <v>252</v>
      </c>
      <c r="D73" s="82" t="s">
        <v>253</v>
      </c>
      <c r="E73" s="82" t="s">
        <v>253</v>
      </c>
      <c r="F73" s="81"/>
      <c r="G73" s="39">
        <f>G74</f>
        <v>1939.7</v>
      </c>
      <c r="H73" s="130">
        <f>H74</f>
        <v>1939.7</v>
      </c>
      <c r="I73" s="39"/>
      <c r="J73" s="130">
        <f>J74</f>
        <v>0</v>
      </c>
      <c r="K73" s="39"/>
      <c r="L73" s="130">
        <f>L74</f>
        <v>0</v>
      </c>
      <c r="M73" s="39"/>
      <c r="N73" s="39"/>
      <c r="O73" s="130">
        <f>O74</f>
        <v>0</v>
      </c>
      <c r="P73" s="39"/>
      <c r="Q73" s="39"/>
      <c r="R73" s="39"/>
    </row>
    <row r="74" spans="1:18" ht="15.75" customHeight="1">
      <c r="A74" s="41" t="s">
        <v>144</v>
      </c>
      <c r="B74" s="39" t="s">
        <v>262</v>
      </c>
      <c r="C74" s="80" t="s">
        <v>252</v>
      </c>
      <c r="D74" s="82" t="s">
        <v>253</v>
      </c>
      <c r="E74" s="82" t="s">
        <v>253</v>
      </c>
      <c r="F74" s="81" t="s">
        <v>314</v>
      </c>
      <c r="G74" s="39">
        <f>H74+I74</f>
        <v>1939.7</v>
      </c>
      <c r="H74" s="130">
        <f>H75</f>
        <v>1939.7</v>
      </c>
      <c r="I74" s="39"/>
      <c r="J74" s="130">
        <f>J75</f>
        <v>0</v>
      </c>
      <c r="K74" s="39"/>
      <c r="L74" s="130">
        <f>L75</f>
        <v>0</v>
      </c>
      <c r="M74" s="39"/>
      <c r="N74" s="39"/>
      <c r="O74" s="130">
        <f>O75</f>
        <v>0</v>
      </c>
      <c r="P74" s="39"/>
      <c r="Q74" s="39"/>
      <c r="R74" s="39"/>
    </row>
    <row r="75" spans="1:18" s="151" customFormat="1" ht="39.75" customHeight="1">
      <c r="A75" s="101" t="s">
        <v>16</v>
      </c>
      <c r="B75" s="468"/>
      <c r="C75" s="469"/>
      <c r="D75" s="468"/>
      <c r="E75" s="469"/>
      <c r="F75" s="469"/>
      <c r="G75" s="468"/>
      <c r="H75" s="461">
        <v>1939.7</v>
      </c>
      <c r="I75" s="470"/>
      <c r="J75" s="471">
        <v>0</v>
      </c>
      <c r="K75" s="470"/>
      <c r="L75" s="461">
        <v>0</v>
      </c>
      <c r="M75" s="459"/>
      <c r="N75" s="459"/>
      <c r="O75" s="461">
        <v>0</v>
      </c>
      <c r="P75" s="470"/>
      <c r="Q75" s="470"/>
      <c r="R75" s="468"/>
    </row>
  </sheetData>
  <mergeCells count="18">
    <mergeCell ref="J6:J8"/>
    <mergeCell ref="R6:R8"/>
    <mergeCell ref="Q6:Q8"/>
    <mergeCell ref="A6:A8"/>
    <mergeCell ref="B6:B8"/>
    <mergeCell ref="C6:C8"/>
    <mergeCell ref="N6:P6"/>
    <mergeCell ref="O7:P7"/>
    <mergeCell ref="L7:M7"/>
    <mergeCell ref="H7:I7"/>
    <mergeCell ref="D6:D8"/>
    <mergeCell ref="E6:E8"/>
    <mergeCell ref="F6:F8"/>
    <mergeCell ref="A46:A47"/>
    <mergeCell ref="A33:A34"/>
    <mergeCell ref="A35:A36"/>
    <mergeCell ref="A37:A38"/>
    <mergeCell ref="A44:A45"/>
  </mergeCells>
  <printOptions gridLines="1"/>
  <pageMargins left="0.1968503937007874" right="0" top="0.5905511811023623" bottom="0.1968503937007874" header="0.5118110236220472" footer="0.5118110236220472"/>
  <pageSetup fitToHeight="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R24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4" sqref="H14"/>
    </sheetView>
  </sheetViews>
  <sheetFormatPr defaultColWidth="9.00390625" defaultRowHeight="12.75" outlineLevelCol="1"/>
  <cols>
    <col min="1" max="1" width="43.125" style="1" customWidth="1"/>
    <col min="2" max="2" width="9.75390625" style="1" customWidth="1"/>
    <col min="3" max="3" width="3.125" style="2" customWidth="1"/>
    <col min="4" max="4" width="3.25390625" style="1" customWidth="1"/>
    <col min="5" max="6" width="3.625" style="2" customWidth="1"/>
    <col min="7" max="7" width="7.875" style="1" customWidth="1"/>
    <col min="8" max="8" width="7.75390625" style="1" customWidth="1"/>
    <col min="9" max="9" width="6.00390625" style="109" customWidth="1"/>
    <col min="10" max="10" width="8.875" style="1" customWidth="1" outlineLevel="1"/>
    <col min="11" max="11" width="8.125" style="1" customWidth="1"/>
    <col min="12" max="12" width="8.25390625" style="1" customWidth="1"/>
    <col min="13" max="13" width="6.875" style="109" customWidth="1"/>
    <col min="14" max="14" width="8.125" style="109" customWidth="1"/>
    <col min="15" max="15" width="8.00390625" style="109" customWidth="1"/>
    <col min="16" max="17" width="5.875" style="109" customWidth="1"/>
    <col min="18" max="18" width="5.00390625" style="1" customWidth="1"/>
    <col min="19" max="16384" width="9.125" style="1" customWidth="1"/>
  </cols>
  <sheetData>
    <row r="1" ht="14.25">
      <c r="H1" s="21" t="s">
        <v>307</v>
      </c>
    </row>
    <row r="2" ht="14.25">
      <c r="H2" s="21" t="s">
        <v>318</v>
      </c>
    </row>
    <row r="3" ht="14.25">
      <c r="H3" s="21" t="s">
        <v>152</v>
      </c>
    </row>
    <row r="4" spans="16:17" ht="12.75">
      <c r="P4" s="116" t="s">
        <v>308</v>
      </c>
      <c r="Q4" s="116"/>
    </row>
    <row r="5" spans="1:18" s="13" customFormat="1" ht="11.25" customHeight="1">
      <c r="A5" s="660"/>
      <c r="B5" s="613" t="s">
        <v>213</v>
      </c>
      <c r="C5" s="613" t="s">
        <v>214</v>
      </c>
      <c r="D5" s="613" t="s">
        <v>215</v>
      </c>
      <c r="E5" s="613" t="s">
        <v>216</v>
      </c>
      <c r="F5" s="613" t="s">
        <v>218</v>
      </c>
      <c r="G5" s="33"/>
      <c r="H5" s="31" t="s">
        <v>300</v>
      </c>
      <c r="I5" s="12"/>
      <c r="J5" s="682" t="s">
        <v>155</v>
      </c>
      <c r="K5" s="33"/>
      <c r="L5" s="34" t="s">
        <v>301</v>
      </c>
      <c r="M5" s="12"/>
      <c r="N5" s="676" t="s">
        <v>302</v>
      </c>
      <c r="O5" s="677"/>
      <c r="P5" s="678"/>
      <c r="Q5" s="161"/>
      <c r="R5" s="679" t="s">
        <v>266</v>
      </c>
    </row>
    <row r="6" spans="1:18" s="13" customFormat="1" ht="11.25">
      <c r="A6" s="661"/>
      <c r="B6" s="614"/>
      <c r="C6" s="614"/>
      <c r="D6" s="614"/>
      <c r="E6" s="614"/>
      <c r="F6" s="614"/>
      <c r="G6" s="35"/>
      <c r="H6" s="33" t="s">
        <v>303</v>
      </c>
      <c r="I6" s="12"/>
      <c r="J6" s="683"/>
      <c r="K6" s="35"/>
      <c r="L6" s="33" t="s">
        <v>303</v>
      </c>
      <c r="M6" s="12"/>
      <c r="N6" s="14"/>
      <c r="O6" s="11" t="s">
        <v>303</v>
      </c>
      <c r="P6" s="12"/>
      <c r="Q6" s="162"/>
      <c r="R6" s="680"/>
    </row>
    <row r="7" spans="1:18" s="13" customFormat="1" ht="42.75" customHeight="1">
      <c r="A7" s="662"/>
      <c r="B7" s="615"/>
      <c r="C7" s="615"/>
      <c r="D7" s="615"/>
      <c r="E7" s="615"/>
      <c r="F7" s="615"/>
      <c r="G7" s="38" t="s">
        <v>304</v>
      </c>
      <c r="H7" s="36" t="s">
        <v>305</v>
      </c>
      <c r="I7" s="17" t="s">
        <v>306</v>
      </c>
      <c r="J7" s="684"/>
      <c r="K7" s="38" t="s">
        <v>304</v>
      </c>
      <c r="L7" s="36" t="s">
        <v>305</v>
      </c>
      <c r="M7" s="17" t="s">
        <v>306</v>
      </c>
      <c r="N7" s="15" t="s">
        <v>304</v>
      </c>
      <c r="O7" s="16" t="s">
        <v>305</v>
      </c>
      <c r="P7" s="17" t="s">
        <v>306</v>
      </c>
      <c r="Q7" s="152" t="s">
        <v>339</v>
      </c>
      <c r="R7" s="681"/>
    </row>
    <row r="8" spans="1:18" s="10" customFormat="1" ht="14.25">
      <c r="A8" s="44" t="s">
        <v>310</v>
      </c>
      <c r="B8" s="42" t="s">
        <v>274</v>
      </c>
      <c r="C8" s="43"/>
      <c r="D8" s="42"/>
      <c r="E8" s="43"/>
      <c r="F8" s="43"/>
      <c r="G8" s="40">
        <f>H8+I8</f>
        <v>92191.6</v>
      </c>
      <c r="H8" s="132">
        <f>H9+H14</f>
        <v>92101.5</v>
      </c>
      <c r="I8" s="114">
        <f>I9+I14</f>
        <v>90.1</v>
      </c>
      <c r="J8" s="132">
        <f>J9+J14</f>
        <v>45396</v>
      </c>
      <c r="K8" s="40">
        <f>L8+M8</f>
        <v>36474.299999999996</v>
      </c>
      <c r="L8" s="132">
        <f>L9+L14</f>
        <v>36384.2</v>
      </c>
      <c r="M8" s="114">
        <f>M9+M14</f>
        <v>90.1</v>
      </c>
      <c r="N8" s="40">
        <f>O8+P8</f>
        <v>36474.299999999996</v>
      </c>
      <c r="O8" s="132">
        <f>O9+O14</f>
        <v>36384.2</v>
      </c>
      <c r="P8" s="114">
        <f>P9+P14</f>
        <v>90.1</v>
      </c>
      <c r="Q8" s="197">
        <f>(L8/J8)*100</f>
        <v>80.14847123094545</v>
      </c>
      <c r="R8" s="39">
        <f>(O8/L8)*100</f>
        <v>100</v>
      </c>
    </row>
    <row r="9" spans="1:18" s="7" customFormat="1" ht="27">
      <c r="A9" s="98" t="s">
        <v>116</v>
      </c>
      <c r="B9" s="190" t="s">
        <v>274</v>
      </c>
      <c r="C9" s="191" t="s">
        <v>276</v>
      </c>
      <c r="D9" s="192"/>
      <c r="E9" s="193"/>
      <c r="F9" s="193"/>
      <c r="G9" s="192">
        <f aca="true" t="shared" si="0" ref="G9:I11">SUM(G10)</f>
        <v>9006.300000000001</v>
      </c>
      <c r="H9" s="194">
        <f t="shared" si="0"/>
        <v>8916.2</v>
      </c>
      <c r="I9" s="195">
        <f t="shared" si="0"/>
        <v>90.1</v>
      </c>
      <c r="J9" s="194">
        <f aca="true" t="shared" si="1" ref="J9:M16">SUM(J10)</f>
        <v>8916.2</v>
      </c>
      <c r="K9" s="192">
        <f t="shared" si="1"/>
        <v>9006.300000000001</v>
      </c>
      <c r="L9" s="194">
        <f t="shared" si="1"/>
        <v>8916.2</v>
      </c>
      <c r="M9" s="195">
        <f t="shared" si="1"/>
        <v>90.1</v>
      </c>
      <c r="N9" s="195">
        <f aca="true" t="shared" si="2" ref="N9:P16">SUM(N10)</f>
        <v>9006.300000000001</v>
      </c>
      <c r="O9" s="194">
        <f t="shared" si="2"/>
        <v>8916.2</v>
      </c>
      <c r="P9" s="195">
        <f t="shared" si="2"/>
        <v>90.1</v>
      </c>
      <c r="Q9" s="163">
        <f>(L9/J9)*100</f>
        <v>100</v>
      </c>
      <c r="R9" s="39">
        <f>(O9/L9)*100</f>
        <v>100</v>
      </c>
    </row>
    <row r="10" spans="1:18" ht="12.75">
      <c r="A10" s="39" t="s">
        <v>279</v>
      </c>
      <c r="B10" s="41"/>
      <c r="C10" s="82" t="s">
        <v>276</v>
      </c>
      <c r="D10" s="82" t="s">
        <v>271</v>
      </c>
      <c r="E10" s="81"/>
      <c r="F10" s="81"/>
      <c r="G10" s="39">
        <f t="shared" si="0"/>
        <v>9006.300000000001</v>
      </c>
      <c r="H10" s="130">
        <f t="shared" si="0"/>
        <v>8916.2</v>
      </c>
      <c r="I10" s="110">
        <f t="shared" si="0"/>
        <v>90.1</v>
      </c>
      <c r="J10" s="130">
        <f t="shared" si="1"/>
        <v>8916.2</v>
      </c>
      <c r="K10" s="39">
        <f t="shared" si="1"/>
        <v>9006.300000000001</v>
      </c>
      <c r="L10" s="130">
        <f t="shared" si="1"/>
        <v>8916.2</v>
      </c>
      <c r="M10" s="110">
        <f t="shared" si="1"/>
        <v>90.1</v>
      </c>
      <c r="N10" s="110">
        <f t="shared" si="2"/>
        <v>9006.300000000001</v>
      </c>
      <c r="O10" s="130">
        <f t="shared" si="2"/>
        <v>8916.2</v>
      </c>
      <c r="P10" s="110">
        <f t="shared" si="2"/>
        <v>90.1</v>
      </c>
      <c r="Q10" s="117"/>
      <c r="R10" s="99"/>
    </row>
    <row r="11" spans="1:18" ht="12.75">
      <c r="A11" s="39" t="s">
        <v>280</v>
      </c>
      <c r="B11" s="41"/>
      <c r="C11" s="82" t="s">
        <v>276</v>
      </c>
      <c r="D11" s="82" t="s">
        <v>271</v>
      </c>
      <c r="E11" s="82">
        <v>12</v>
      </c>
      <c r="F11" s="81"/>
      <c r="G11" s="39">
        <f t="shared" si="0"/>
        <v>9006.300000000001</v>
      </c>
      <c r="H11" s="130">
        <f t="shared" si="0"/>
        <v>8916.2</v>
      </c>
      <c r="I11" s="110">
        <f t="shared" si="0"/>
        <v>90.1</v>
      </c>
      <c r="J11" s="130">
        <f t="shared" si="1"/>
        <v>8916.2</v>
      </c>
      <c r="K11" s="39">
        <f t="shared" si="1"/>
        <v>9006.300000000001</v>
      </c>
      <c r="L11" s="130">
        <f t="shared" si="1"/>
        <v>8916.2</v>
      </c>
      <c r="M11" s="110">
        <f t="shared" si="1"/>
        <v>90.1</v>
      </c>
      <c r="N11" s="110">
        <f t="shared" si="2"/>
        <v>9006.300000000001</v>
      </c>
      <c r="O11" s="130">
        <f t="shared" si="2"/>
        <v>8916.2</v>
      </c>
      <c r="P11" s="110">
        <f t="shared" si="2"/>
        <v>90.1</v>
      </c>
      <c r="Q11" s="117"/>
      <c r="R11" s="99"/>
    </row>
    <row r="12" spans="1:18" ht="12.75">
      <c r="A12" s="41" t="s">
        <v>240</v>
      </c>
      <c r="B12" s="41" t="s">
        <v>274</v>
      </c>
      <c r="C12" s="82" t="s">
        <v>276</v>
      </c>
      <c r="D12" s="82" t="s">
        <v>271</v>
      </c>
      <c r="E12" s="82">
        <v>12</v>
      </c>
      <c r="F12" s="82" t="s">
        <v>241</v>
      </c>
      <c r="G12" s="39">
        <f>H12+I12</f>
        <v>9006.300000000001</v>
      </c>
      <c r="H12" s="130">
        <f>SUM(H13)</f>
        <v>8916.2</v>
      </c>
      <c r="I12" s="110">
        <f>SUM(I13)</f>
        <v>90.1</v>
      </c>
      <c r="J12" s="130">
        <f t="shared" si="1"/>
        <v>8916.2</v>
      </c>
      <c r="K12" s="39">
        <f>L12+M12</f>
        <v>9006.300000000001</v>
      </c>
      <c r="L12" s="130">
        <f>SUM(L13)</f>
        <v>8916.2</v>
      </c>
      <c r="M12" s="110">
        <f t="shared" si="1"/>
        <v>90.1</v>
      </c>
      <c r="N12" s="39">
        <f>O12+P12</f>
        <v>9006.300000000001</v>
      </c>
      <c r="O12" s="130">
        <f>SUM(O13)</f>
        <v>8916.2</v>
      </c>
      <c r="P12" s="110">
        <f t="shared" si="2"/>
        <v>90.1</v>
      </c>
      <c r="Q12" s="117"/>
      <c r="R12" s="99"/>
    </row>
    <row r="13" spans="1:18" ht="25.5">
      <c r="A13" s="100" t="s">
        <v>115</v>
      </c>
      <c r="B13" s="101"/>
      <c r="C13" s="102"/>
      <c r="D13" s="102"/>
      <c r="E13" s="102"/>
      <c r="F13" s="102"/>
      <c r="G13" s="103"/>
      <c r="H13" s="137">
        <v>8916.2</v>
      </c>
      <c r="I13" s="122">
        <v>90.1</v>
      </c>
      <c r="J13" s="137">
        <v>8916.2</v>
      </c>
      <c r="K13" s="104"/>
      <c r="L13" s="137">
        <v>8916.2</v>
      </c>
      <c r="M13" s="113">
        <v>90.1</v>
      </c>
      <c r="N13" s="113"/>
      <c r="O13" s="137">
        <v>8916.2</v>
      </c>
      <c r="P13" s="113">
        <v>90.1</v>
      </c>
      <c r="Q13" s="160"/>
      <c r="R13" s="39"/>
    </row>
    <row r="14" spans="1:18" s="7" customFormat="1" ht="27">
      <c r="A14" s="98" t="s">
        <v>117</v>
      </c>
      <c r="B14" s="190" t="s">
        <v>274</v>
      </c>
      <c r="C14" s="191" t="s">
        <v>118</v>
      </c>
      <c r="D14" s="192"/>
      <c r="E14" s="193"/>
      <c r="F14" s="193"/>
      <c r="G14" s="192">
        <f aca="true" t="shared" si="3" ref="G14:I16">SUM(G15)</f>
        <v>83185.3</v>
      </c>
      <c r="H14" s="194">
        <f t="shared" si="3"/>
        <v>83185.3</v>
      </c>
      <c r="I14" s="195">
        <f t="shared" si="3"/>
        <v>0</v>
      </c>
      <c r="J14" s="194">
        <f t="shared" si="1"/>
        <v>36479.8</v>
      </c>
      <c r="K14" s="192">
        <f t="shared" si="1"/>
        <v>27468</v>
      </c>
      <c r="L14" s="194">
        <f t="shared" si="1"/>
        <v>27468</v>
      </c>
      <c r="M14" s="195">
        <f t="shared" si="1"/>
        <v>0</v>
      </c>
      <c r="N14" s="195">
        <f t="shared" si="2"/>
        <v>27468</v>
      </c>
      <c r="O14" s="194">
        <f t="shared" si="2"/>
        <v>27468</v>
      </c>
      <c r="P14" s="195">
        <f t="shared" si="2"/>
        <v>0</v>
      </c>
      <c r="Q14" s="197">
        <f>(L14/J14)*100</f>
        <v>75.29646544114824</v>
      </c>
      <c r="R14" s="39">
        <f>(O14/L14)*100</f>
        <v>100</v>
      </c>
    </row>
    <row r="15" spans="1:18" ht="12.75">
      <c r="A15" s="39" t="s">
        <v>279</v>
      </c>
      <c r="B15" s="41" t="s">
        <v>274</v>
      </c>
      <c r="C15" s="82" t="s">
        <v>118</v>
      </c>
      <c r="D15" s="82" t="s">
        <v>271</v>
      </c>
      <c r="E15" s="81"/>
      <c r="F15" s="81"/>
      <c r="G15" s="39">
        <f t="shared" si="3"/>
        <v>83185.3</v>
      </c>
      <c r="H15" s="130">
        <f t="shared" si="3"/>
        <v>83185.3</v>
      </c>
      <c r="I15" s="110">
        <f t="shared" si="3"/>
        <v>0</v>
      </c>
      <c r="J15" s="130">
        <f t="shared" si="1"/>
        <v>36479.8</v>
      </c>
      <c r="K15" s="39">
        <f t="shared" si="1"/>
        <v>27468</v>
      </c>
      <c r="L15" s="130">
        <f t="shared" si="1"/>
        <v>27468</v>
      </c>
      <c r="M15" s="110">
        <f t="shared" si="1"/>
        <v>0</v>
      </c>
      <c r="N15" s="110">
        <f t="shared" si="2"/>
        <v>27468</v>
      </c>
      <c r="O15" s="130">
        <f t="shared" si="2"/>
        <v>27468</v>
      </c>
      <c r="P15" s="110">
        <f t="shared" si="2"/>
        <v>0</v>
      </c>
      <c r="Q15" s="117"/>
      <c r="R15" s="99"/>
    </row>
    <row r="16" spans="1:18" ht="12.75">
      <c r="A16" s="39" t="s">
        <v>280</v>
      </c>
      <c r="B16" s="41" t="s">
        <v>274</v>
      </c>
      <c r="C16" s="82" t="s">
        <v>118</v>
      </c>
      <c r="D16" s="82" t="s">
        <v>271</v>
      </c>
      <c r="E16" s="82">
        <v>12</v>
      </c>
      <c r="F16" s="81"/>
      <c r="G16" s="39">
        <f t="shared" si="3"/>
        <v>83185.3</v>
      </c>
      <c r="H16" s="130">
        <f t="shared" si="3"/>
        <v>83185.3</v>
      </c>
      <c r="I16" s="110">
        <f t="shared" si="3"/>
        <v>0</v>
      </c>
      <c r="J16" s="130">
        <f t="shared" si="1"/>
        <v>36479.8</v>
      </c>
      <c r="K16" s="39">
        <f t="shared" si="1"/>
        <v>27468</v>
      </c>
      <c r="L16" s="130">
        <f t="shared" si="1"/>
        <v>27468</v>
      </c>
      <c r="M16" s="110">
        <f t="shared" si="1"/>
        <v>0</v>
      </c>
      <c r="N16" s="110">
        <f t="shared" si="2"/>
        <v>27468</v>
      </c>
      <c r="O16" s="130">
        <f t="shared" si="2"/>
        <v>27468</v>
      </c>
      <c r="P16" s="110">
        <f t="shared" si="2"/>
        <v>0</v>
      </c>
      <c r="Q16" s="117"/>
      <c r="R16" s="99"/>
    </row>
    <row r="17" spans="1:18" ht="12.75">
      <c r="A17" s="41" t="s">
        <v>324</v>
      </c>
      <c r="B17" s="41" t="s">
        <v>274</v>
      </c>
      <c r="C17" s="82" t="s">
        <v>118</v>
      </c>
      <c r="D17" s="82" t="s">
        <v>271</v>
      </c>
      <c r="E17" s="82">
        <v>12</v>
      </c>
      <c r="F17" s="82" t="s">
        <v>276</v>
      </c>
      <c r="G17" s="39">
        <f>H17+I17</f>
        <v>83185.3</v>
      </c>
      <c r="H17" s="130">
        <f>H18+H19+H20+H21+H22+H23+H24</f>
        <v>83185.3</v>
      </c>
      <c r="I17" s="110">
        <f>I18+I19+I20+I21+I22+I23</f>
        <v>0</v>
      </c>
      <c r="J17" s="130">
        <f>J18+J19+J20+J21+J22+J23+J24</f>
        <v>36479.8</v>
      </c>
      <c r="K17" s="39">
        <f>L17+M17</f>
        <v>27468</v>
      </c>
      <c r="L17" s="130">
        <f>L18+L19+L20+L21+L22+L23+L24</f>
        <v>27468</v>
      </c>
      <c r="M17" s="110">
        <f>M18+M19+M20+M21+M22+M23</f>
        <v>0</v>
      </c>
      <c r="N17" s="39">
        <f>O17+P17</f>
        <v>27468</v>
      </c>
      <c r="O17" s="130">
        <f>O18+O19+O20+O21+O22+O23+O24</f>
        <v>27468</v>
      </c>
      <c r="P17" s="110">
        <f>P18+P19+P20+P21+P22+P23</f>
        <v>0</v>
      </c>
      <c r="Q17" s="117"/>
      <c r="R17" s="99"/>
    </row>
    <row r="18" spans="1:18" s="22" customFormat="1" ht="180.75" customHeight="1">
      <c r="A18" s="196" t="s">
        <v>119</v>
      </c>
      <c r="B18" s="101"/>
      <c r="C18" s="102"/>
      <c r="D18" s="102"/>
      <c r="E18" s="102"/>
      <c r="F18" s="102"/>
      <c r="G18" s="103"/>
      <c r="H18" s="137">
        <v>1559.5</v>
      </c>
      <c r="I18" s="113">
        <v>0</v>
      </c>
      <c r="J18" s="131">
        <v>519.8</v>
      </c>
      <c r="K18" s="103"/>
      <c r="L18" s="131">
        <v>0</v>
      </c>
      <c r="M18" s="113">
        <v>0</v>
      </c>
      <c r="N18" s="113"/>
      <c r="O18" s="131">
        <v>0</v>
      </c>
      <c r="P18" s="113">
        <v>0</v>
      </c>
      <c r="Q18" s="160"/>
      <c r="R18" s="103"/>
    </row>
    <row r="19" spans="1:18" s="22" customFormat="1" ht="38.25">
      <c r="A19" s="179" t="s">
        <v>120</v>
      </c>
      <c r="B19" s="103"/>
      <c r="C19" s="181"/>
      <c r="D19" s="103"/>
      <c r="E19" s="181"/>
      <c r="F19" s="181"/>
      <c r="G19" s="103"/>
      <c r="H19" s="131">
        <v>30299.7</v>
      </c>
      <c r="I19" s="113">
        <v>0</v>
      </c>
      <c r="J19" s="131">
        <v>16348.7</v>
      </c>
      <c r="K19" s="103"/>
      <c r="L19" s="131">
        <v>15482.8</v>
      </c>
      <c r="M19" s="113">
        <v>0</v>
      </c>
      <c r="N19" s="113"/>
      <c r="O19" s="131">
        <v>15482.8</v>
      </c>
      <c r="P19" s="113">
        <v>0</v>
      </c>
      <c r="Q19" s="113"/>
      <c r="R19" s="103"/>
    </row>
    <row r="20" spans="1:18" s="22" customFormat="1" ht="38.25">
      <c r="A20" s="179" t="s">
        <v>121</v>
      </c>
      <c r="B20" s="103"/>
      <c r="C20" s="181"/>
      <c r="D20" s="103"/>
      <c r="E20" s="181"/>
      <c r="F20" s="181"/>
      <c r="G20" s="103"/>
      <c r="H20" s="131">
        <v>44040.8</v>
      </c>
      <c r="I20" s="113">
        <v>0</v>
      </c>
      <c r="J20" s="131">
        <v>17792.5</v>
      </c>
      <c r="K20" s="103"/>
      <c r="L20" s="131">
        <v>11865.5</v>
      </c>
      <c r="M20" s="113">
        <v>0</v>
      </c>
      <c r="N20" s="113"/>
      <c r="O20" s="131">
        <v>11865.5</v>
      </c>
      <c r="P20" s="113">
        <v>0</v>
      </c>
      <c r="Q20" s="113"/>
      <c r="R20" s="103"/>
    </row>
    <row r="21" spans="1:18" s="22" customFormat="1" ht="63.75">
      <c r="A21" s="179" t="s">
        <v>122</v>
      </c>
      <c r="B21" s="103"/>
      <c r="C21" s="181"/>
      <c r="D21" s="103"/>
      <c r="E21" s="181"/>
      <c r="F21" s="181"/>
      <c r="G21" s="103"/>
      <c r="H21" s="131">
        <v>220.6</v>
      </c>
      <c r="I21" s="113">
        <v>0</v>
      </c>
      <c r="J21" s="131">
        <v>162.1</v>
      </c>
      <c r="K21" s="103"/>
      <c r="L21" s="131">
        <v>116.5</v>
      </c>
      <c r="M21" s="113">
        <v>0</v>
      </c>
      <c r="N21" s="113"/>
      <c r="O21" s="131">
        <v>116.5</v>
      </c>
      <c r="P21" s="113">
        <v>0</v>
      </c>
      <c r="Q21" s="113"/>
      <c r="R21" s="103"/>
    </row>
    <row r="22" spans="1:18" s="22" customFormat="1" ht="51">
      <c r="A22" s="179" t="s">
        <v>123</v>
      </c>
      <c r="B22" s="103"/>
      <c r="C22" s="181"/>
      <c r="D22" s="103"/>
      <c r="E22" s="181"/>
      <c r="F22" s="181"/>
      <c r="G22" s="103"/>
      <c r="H22" s="131">
        <v>1045.4</v>
      </c>
      <c r="I22" s="113">
        <v>0</v>
      </c>
      <c r="J22" s="131">
        <v>449.4</v>
      </c>
      <c r="K22" s="103"/>
      <c r="L22" s="131">
        <v>0</v>
      </c>
      <c r="M22" s="113">
        <v>0</v>
      </c>
      <c r="N22" s="113"/>
      <c r="O22" s="131">
        <v>0</v>
      </c>
      <c r="P22" s="113">
        <v>0</v>
      </c>
      <c r="Q22" s="113"/>
      <c r="R22" s="103"/>
    </row>
    <row r="23" spans="1:18" s="22" customFormat="1" ht="63.75">
      <c r="A23" s="179" t="s">
        <v>124</v>
      </c>
      <c r="B23" s="103"/>
      <c r="C23" s="181"/>
      <c r="D23" s="103"/>
      <c r="E23" s="181"/>
      <c r="F23" s="181"/>
      <c r="G23" s="103"/>
      <c r="H23" s="131">
        <v>3019.3</v>
      </c>
      <c r="I23" s="113">
        <v>0</v>
      </c>
      <c r="J23" s="131">
        <v>1207.3</v>
      </c>
      <c r="K23" s="103"/>
      <c r="L23" s="131">
        <v>3.2</v>
      </c>
      <c r="M23" s="113">
        <v>0</v>
      </c>
      <c r="N23" s="113"/>
      <c r="O23" s="131">
        <v>3.2</v>
      </c>
      <c r="P23" s="113">
        <v>0</v>
      </c>
      <c r="Q23" s="113"/>
      <c r="R23" s="103"/>
    </row>
    <row r="24" spans="1:18" s="29" customFormat="1" ht="38.25">
      <c r="A24" s="546" t="s">
        <v>163</v>
      </c>
      <c r="B24" s="112"/>
      <c r="C24" s="547"/>
      <c r="D24" s="112"/>
      <c r="E24" s="547"/>
      <c r="F24" s="547"/>
      <c r="G24" s="112"/>
      <c r="H24" s="247">
        <v>3000</v>
      </c>
      <c r="I24" s="248">
        <v>0</v>
      </c>
      <c r="J24" s="247">
        <v>0</v>
      </c>
      <c r="K24" s="112"/>
      <c r="L24" s="247">
        <v>0</v>
      </c>
      <c r="M24" s="248">
        <v>0</v>
      </c>
      <c r="N24" s="248"/>
      <c r="O24" s="247">
        <v>0</v>
      </c>
      <c r="P24" s="248">
        <v>0</v>
      </c>
      <c r="Q24" s="248"/>
      <c r="R24" s="112"/>
    </row>
  </sheetData>
  <mergeCells count="9">
    <mergeCell ref="R5:R7"/>
    <mergeCell ref="D5:D7"/>
    <mergeCell ref="E5:E7"/>
    <mergeCell ref="F5:F7"/>
    <mergeCell ref="J5:J7"/>
    <mergeCell ref="A5:A7"/>
    <mergeCell ref="B5:B7"/>
    <mergeCell ref="C5:C7"/>
    <mergeCell ref="N5:P5"/>
  </mergeCells>
  <printOptions gridLines="1"/>
  <pageMargins left="0.1968503937007874" right="0" top="0.5905511811023623" bottom="0.1968503937007874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X68"/>
  <sheetViews>
    <sheetView zoomScale="120" zoomScaleNormal="120" workbookViewId="0" topLeftCell="A1">
      <pane ySplit="9" topLeftCell="BM10" activePane="bottomLeft" state="frozen"/>
      <selection pane="topLeft" activeCell="A1" sqref="A1"/>
      <selection pane="bottomLeft" activeCell="G3" sqref="G3"/>
    </sheetView>
  </sheetViews>
  <sheetFormatPr defaultColWidth="9.00390625" defaultRowHeight="12.75" outlineLevelCol="1"/>
  <cols>
    <col min="1" max="1" width="50.375" style="1" customWidth="1"/>
    <col min="2" max="2" width="9.125" style="1" customWidth="1"/>
    <col min="3" max="3" width="3.125" style="2" customWidth="1"/>
    <col min="4" max="4" width="3.00390625" style="1" customWidth="1"/>
    <col min="5" max="5" width="2.875" style="2" customWidth="1"/>
    <col min="6" max="6" width="3.375" style="2" customWidth="1"/>
    <col min="7" max="7" width="9.125" style="1" customWidth="1"/>
    <col min="8" max="8" width="9.375" style="1" customWidth="1"/>
    <col min="9" max="9" width="7.625" style="1" customWidth="1"/>
    <col min="10" max="11" width="7.75390625" style="1" customWidth="1"/>
    <col min="12" max="12" width="9.125" style="1" customWidth="1"/>
    <col min="13" max="13" width="8.625" style="1" customWidth="1"/>
    <col min="14" max="14" width="9.375" style="1" customWidth="1"/>
    <col min="15" max="15" width="6.25390625" style="1" customWidth="1"/>
    <col min="16" max="16" width="7.875" style="1" customWidth="1"/>
    <col min="17" max="17" width="9.00390625" style="1" customWidth="1" outlineLevel="1"/>
    <col min="18" max="18" width="9.25390625" style="1" customWidth="1" outlineLevel="1"/>
    <col min="19" max="19" width="6.00390625" style="1" customWidth="1" outlineLevel="1"/>
    <col min="20" max="20" width="6.875" style="1" customWidth="1" outlineLevel="1"/>
    <col min="21" max="22" width="5.625" style="1" customWidth="1" outlineLevel="1"/>
    <col min="23" max="16384" width="9.125" style="1" customWidth="1"/>
  </cols>
  <sheetData>
    <row r="1" spans="7:8" ht="14.25">
      <c r="G1" s="21" t="s">
        <v>307</v>
      </c>
      <c r="H1" s="21"/>
    </row>
    <row r="2" spans="7:8" ht="14.25">
      <c r="G2" s="21" t="s">
        <v>199</v>
      </c>
      <c r="H2" s="21"/>
    </row>
    <row r="3" spans="7:8" ht="14.25">
      <c r="G3" s="21" t="s">
        <v>152</v>
      </c>
      <c r="H3" s="21"/>
    </row>
    <row r="4" spans="19:20" ht="12.75">
      <c r="S4" s="125" t="s">
        <v>308</v>
      </c>
      <c r="T4" s="125"/>
    </row>
    <row r="5" spans="1:22" s="50" customFormat="1" ht="11.25" customHeight="1">
      <c r="A5" s="688"/>
      <c r="B5" s="636" t="s">
        <v>213</v>
      </c>
      <c r="C5" s="636" t="s">
        <v>214</v>
      </c>
      <c r="D5" s="636" t="s">
        <v>215</v>
      </c>
      <c r="E5" s="636" t="s">
        <v>216</v>
      </c>
      <c r="F5" s="636" t="s">
        <v>218</v>
      </c>
      <c r="G5" s="691" t="s">
        <v>304</v>
      </c>
      <c r="H5" s="696" t="s">
        <v>300</v>
      </c>
      <c r="I5" s="696"/>
      <c r="J5" s="696"/>
      <c r="K5" s="696"/>
      <c r="L5" s="595" t="s">
        <v>155</v>
      </c>
      <c r="M5" s="687" t="s">
        <v>304</v>
      </c>
      <c r="N5" s="648" t="s">
        <v>301</v>
      </c>
      <c r="O5" s="649"/>
      <c r="P5" s="650"/>
      <c r="Q5" s="687" t="s">
        <v>304</v>
      </c>
      <c r="R5" s="696" t="s">
        <v>302</v>
      </c>
      <c r="S5" s="696"/>
      <c r="T5" s="696"/>
      <c r="U5" s="694" t="s">
        <v>339</v>
      </c>
      <c r="V5" s="693" t="s">
        <v>266</v>
      </c>
    </row>
    <row r="6" spans="1:22" s="50" customFormat="1" ht="12.75" customHeight="1">
      <c r="A6" s="689"/>
      <c r="B6" s="637"/>
      <c r="C6" s="637"/>
      <c r="D6" s="637"/>
      <c r="E6" s="637"/>
      <c r="F6" s="637"/>
      <c r="G6" s="692"/>
      <c r="H6" s="697" t="s">
        <v>303</v>
      </c>
      <c r="I6" s="697"/>
      <c r="J6" s="697"/>
      <c r="K6" s="697"/>
      <c r="L6" s="596"/>
      <c r="M6" s="687"/>
      <c r="N6" s="697" t="s">
        <v>303</v>
      </c>
      <c r="O6" s="697"/>
      <c r="P6" s="697"/>
      <c r="Q6" s="687"/>
      <c r="R6" s="697" t="s">
        <v>303</v>
      </c>
      <c r="S6" s="697"/>
      <c r="T6" s="697"/>
      <c r="U6" s="695"/>
      <c r="V6" s="693"/>
    </row>
    <row r="7" spans="1:22" s="50" customFormat="1" ht="33.75">
      <c r="A7" s="690"/>
      <c r="B7" s="637"/>
      <c r="C7" s="637"/>
      <c r="D7" s="637"/>
      <c r="E7" s="637"/>
      <c r="F7" s="637"/>
      <c r="G7" s="692"/>
      <c r="H7" s="153" t="s">
        <v>305</v>
      </c>
      <c r="I7" s="154" t="s">
        <v>306</v>
      </c>
      <c r="J7" s="154" t="s">
        <v>312</v>
      </c>
      <c r="K7" s="154" t="s">
        <v>389</v>
      </c>
      <c r="L7" s="596"/>
      <c r="M7" s="687"/>
      <c r="N7" s="153" t="s">
        <v>305</v>
      </c>
      <c r="O7" s="154" t="s">
        <v>306</v>
      </c>
      <c r="P7" s="154" t="s">
        <v>312</v>
      </c>
      <c r="Q7" s="687"/>
      <c r="R7" s="153" t="s">
        <v>305</v>
      </c>
      <c r="S7" s="154" t="s">
        <v>306</v>
      </c>
      <c r="T7" s="154" t="s">
        <v>312</v>
      </c>
      <c r="U7" s="695"/>
      <c r="V7" s="693"/>
    </row>
    <row r="8" spans="1:24" ht="19.5" customHeight="1">
      <c r="A8" s="20" t="s">
        <v>310</v>
      </c>
      <c r="B8" s="40" t="s">
        <v>278</v>
      </c>
      <c r="C8" s="81"/>
      <c r="D8" s="39"/>
      <c r="E8" s="81"/>
      <c r="F8" s="81"/>
      <c r="G8" s="40">
        <f>H8+I8+J8</f>
        <v>484082.2</v>
      </c>
      <c r="H8" s="40">
        <f>H10+H18+H33</f>
        <v>472805.2</v>
      </c>
      <c r="I8" s="40">
        <f>I10+I18+I33</f>
        <v>826.9999999999999</v>
      </c>
      <c r="J8" s="40">
        <f>J10+J18+J33</f>
        <v>10450</v>
      </c>
      <c r="K8" s="40"/>
      <c r="L8" s="40">
        <f>L10+L18+L33</f>
        <v>49561.299999999996</v>
      </c>
      <c r="M8" s="40">
        <f>N8+O8+P8</f>
        <v>32338.000000000004</v>
      </c>
      <c r="N8" s="40">
        <f>N10+N18+N33</f>
        <v>32224.500000000004</v>
      </c>
      <c r="O8" s="40">
        <f>O10+O18+O33</f>
        <v>113.5</v>
      </c>
      <c r="P8" s="40">
        <f>P10+P18+P33</f>
        <v>0</v>
      </c>
      <c r="Q8" s="40">
        <f>R8+S8+T8</f>
        <v>32338.000000000004</v>
      </c>
      <c r="R8" s="40">
        <f>R10+R18+R33</f>
        <v>32224.500000000004</v>
      </c>
      <c r="S8" s="40">
        <f>S10+S18+S33</f>
        <v>113.5</v>
      </c>
      <c r="T8" s="40">
        <f>T10+T18+T33</f>
        <v>0</v>
      </c>
      <c r="U8" s="40">
        <f>SUM(N8/L8)*100</f>
        <v>65.01948092564159</v>
      </c>
      <c r="V8" s="40">
        <f>(R8/N8)*100</f>
        <v>100</v>
      </c>
      <c r="X8" s="2"/>
    </row>
    <row r="9" spans="1:24" s="449" customFormat="1" ht="13.5" customHeight="1">
      <c r="A9" s="445" t="s">
        <v>484</v>
      </c>
      <c r="B9" s="446"/>
      <c r="C9" s="447"/>
      <c r="D9" s="448"/>
      <c r="E9" s="447"/>
      <c r="F9" s="447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>
        <f>Q15</f>
        <v>28419.9</v>
      </c>
      <c r="R9" s="446">
        <f>R15</f>
        <v>28419.9</v>
      </c>
      <c r="S9" s="446"/>
      <c r="T9" s="446"/>
      <c r="U9" s="446"/>
      <c r="V9" s="446"/>
      <c r="X9" s="450"/>
    </row>
    <row r="10" spans="1:22" s="7" customFormat="1" ht="27">
      <c r="A10" s="79" t="s">
        <v>298</v>
      </c>
      <c r="B10" s="40" t="s">
        <v>278</v>
      </c>
      <c r="C10" s="78" t="s">
        <v>239</v>
      </c>
      <c r="D10" s="40"/>
      <c r="E10" s="87"/>
      <c r="F10" s="87"/>
      <c r="G10" s="40">
        <f aca="true" t="shared" si="0" ref="G10:H12">SUM(G11)</f>
        <v>69226.2</v>
      </c>
      <c r="H10" s="132">
        <f t="shared" si="0"/>
        <v>59226.2</v>
      </c>
      <c r="I10" s="40">
        <f aca="true" t="shared" si="1" ref="I10:J12">I11</f>
        <v>0</v>
      </c>
      <c r="J10" s="40">
        <f t="shared" si="1"/>
        <v>10000</v>
      </c>
      <c r="K10" s="40"/>
      <c r="L10" s="132">
        <f aca="true" t="shared" si="2" ref="L10:N11">SUM(L11)</f>
        <v>0</v>
      </c>
      <c r="M10" s="40">
        <f t="shared" si="2"/>
        <v>0</v>
      </c>
      <c r="N10" s="132">
        <f t="shared" si="2"/>
        <v>0</v>
      </c>
      <c r="O10" s="40">
        <f aca="true" t="shared" si="3" ref="O10:P12">O11</f>
        <v>0</v>
      </c>
      <c r="P10" s="40">
        <f t="shared" si="3"/>
        <v>0</v>
      </c>
      <c r="Q10" s="40">
        <f aca="true" t="shared" si="4" ref="Q10:R12">SUM(Q11)</f>
        <v>0</v>
      </c>
      <c r="R10" s="132">
        <f t="shared" si="4"/>
        <v>0</v>
      </c>
      <c r="S10" s="40">
        <f aca="true" t="shared" si="5" ref="S10:T12">S11</f>
        <v>0</v>
      </c>
      <c r="T10" s="40">
        <f t="shared" si="5"/>
        <v>0</v>
      </c>
      <c r="U10" s="40"/>
      <c r="V10" s="40"/>
    </row>
    <row r="11" spans="1:22" ht="12.75">
      <c r="A11" s="39" t="s">
        <v>279</v>
      </c>
      <c r="B11" s="39"/>
      <c r="C11" s="82" t="s">
        <v>239</v>
      </c>
      <c r="D11" s="82" t="s">
        <v>271</v>
      </c>
      <c r="E11" s="81"/>
      <c r="F11" s="81"/>
      <c r="G11" s="39">
        <f t="shared" si="0"/>
        <v>69226.2</v>
      </c>
      <c r="H11" s="130">
        <f t="shared" si="0"/>
        <v>59226.2</v>
      </c>
      <c r="I11" s="39">
        <f t="shared" si="1"/>
        <v>0</v>
      </c>
      <c r="J11" s="39">
        <f t="shared" si="1"/>
        <v>10000</v>
      </c>
      <c r="K11" s="39"/>
      <c r="L11" s="130">
        <f t="shared" si="2"/>
        <v>0</v>
      </c>
      <c r="M11" s="39">
        <f t="shared" si="2"/>
        <v>0</v>
      </c>
      <c r="N11" s="130">
        <f t="shared" si="2"/>
        <v>0</v>
      </c>
      <c r="O11" s="39">
        <f t="shared" si="3"/>
        <v>0</v>
      </c>
      <c r="P11" s="39">
        <f t="shared" si="3"/>
        <v>0</v>
      </c>
      <c r="Q11" s="39">
        <f t="shared" si="4"/>
        <v>0</v>
      </c>
      <c r="R11" s="130">
        <f t="shared" si="4"/>
        <v>0</v>
      </c>
      <c r="S11" s="39">
        <f t="shared" si="5"/>
        <v>0</v>
      </c>
      <c r="T11" s="39">
        <f t="shared" si="5"/>
        <v>0</v>
      </c>
      <c r="U11" s="39"/>
      <c r="V11" s="39"/>
    </row>
    <row r="12" spans="1:22" ht="12.75">
      <c r="A12" s="41" t="s">
        <v>280</v>
      </c>
      <c r="B12" s="39"/>
      <c r="C12" s="82" t="s">
        <v>239</v>
      </c>
      <c r="D12" s="82" t="s">
        <v>271</v>
      </c>
      <c r="E12" s="82" t="s">
        <v>269</v>
      </c>
      <c r="F12" s="81"/>
      <c r="G12" s="39">
        <f t="shared" si="0"/>
        <v>69226.2</v>
      </c>
      <c r="H12" s="130">
        <f t="shared" si="0"/>
        <v>59226.2</v>
      </c>
      <c r="I12" s="39">
        <f t="shared" si="1"/>
        <v>0</v>
      </c>
      <c r="J12" s="39">
        <f t="shared" si="1"/>
        <v>10000</v>
      </c>
      <c r="K12" s="39"/>
      <c r="L12" s="130">
        <f>SUM(L13)</f>
        <v>0</v>
      </c>
      <c r="M12" s="39">
        <f>SUM(M13)</f>
        <v>0</v>
      </c>
      <c r="N12" s="130">
        <f>SUM(N13)</f>
        <v>0</v>
      </c>
      <c r="O12" s="39">
        <f t="shared" si="3"/>
        <v>0</v>
      </c>
      <c r="P12" s="39">
        <f t="shared" si="3"/>
        <v>0</v>
      </c>
      <c r="Q12" s="39">
        <f t="shared" si="4"/>
        <v>0</v>
      </c>
      <c r="R12" s="130">
        <f t="shared" si="4"/>
        <v>0</v>
      </c>
      <c r="S12" s="39">
        <f t="shared" si="5"/>
        <v>0</v>
      </c>
      <c r="T12" s="39">
        <f t="shared" si="5"/>
        <v>0</v>
      </c>
      <c r="U12" s="39"/>
      <c r="V12" s="39"/>
    </row>
    <row r="13" spans="1:22" ht="12.75">
      <c r="A13" s="41" t="s">
        <v>390</v>
      </c>
      <c r="B13" s="39" t="s">
        <v>278</v>
      </c>
      <c r="C13" s="82" t="s">
        <v>239</v>
      </c>
      <c r="D13" s="82" t="s">
        <v>271</v>
      </c>
      <c r="E13" s="82" t="s">
        <v>269</v>
      </c>
      <c r="F13" s="82" t="s">
        <v>391</v>
      </c>
      <c r="G13" s="39">
        <f>SUM(H13+I13+J13)</f>
        <v>69226.2</v>
      </c>
      <c r="H13" s="130">
        <f>SUM(H14+H16+H17)</f>
        <v>59226.2</v>
      </c>
      <c r="I13" s="39">
        <f>I14+I16</f>
        <v>0</v>
      </c>
      <c r="J13" s="39">
        <f>J14+J16</f>
        <v>10000</v>
      </c>
      <c r="K13" s="39"/>
      <c r="L13" s="130">
        <f>SUM(L14+L16+L17)</f>
        <v>0</v>
      </c>
      <c r="M13" s="39">
        <f>SUM(N13+O13+P13)</f>
        <v>0</v>
      </c>
      <c r="N13" s="130">
        <f>SUM(N14+N16+N17)</f>
        <v>0</v>
      </c>
      <c r="O13" s="39">
        <f>O14+O16</f>
        <v>0</v>
      </c>
      <c r="P13" s="39">
        <f>P14+P16</f>
        <v>0</v>
      </c>
      <c r="Q13" s="39">
        <f>SUM(R13+S13+T13)</f>
        <v>0</v>
      </c>
      <c r="R13" s="130">
        <f>SUM(R14+R16+R17)</f>
        <v>0</v>
      </c>
      <c r="S13" s="39">
        <f>S14+S16</f>
        <v>0</v>
      </c>
      <c r="T13" s="39">
        <f>T14+T16</f>
        <v>0</v>
      </c>
      <c r="U13" s="39"/>
      <c r="V13" s="39"/>
    </row>
    <row r="14" spans="1:22" s="184" customFormat="1" ht="24" customHeight="1">
      <c r="A14" s="685" t="s">
        <v>483</v>
      </c>
      <c r="B14" s="182"/>
      <c r="C14" s="183"/>
      <c r="D14" s="183"/>
      <c r="E14" s="183"/>
      <c r="F14" s="183"/>
      <c r="G14" s="182"/>
      <c r="H14" s="205">
        <v>19986</v>
      </c>
      <c r="I14" s="206">
        <v>0</v>
      </c>
      <c r="J14" s="206">
        <v>10000</v>
      </c>
      <c r="K14" s="206"/>
      <c r="L14" s="205">
        <v>0</v>
      </c>
      <c r="M14" s="206"/>
      <c r="N14" s="205">
        <v>0</v>
      </c>
      <c r="O14" s="206">
        <v>0</v>
      </c>
      <c r="P14" s="206">
        <v>0</v>
      </c>
      <c r="Q14" s="206"/>
      <c r="R14" s="205">
        <v>0</v>
      </c>
      <c r="S14" s="206">
        <v>0</v>
      </c>
      <c r="T14" s="206">
        <v>0</v>
      </c>
      <c r="U14" s="206"/>
      <c r="V14" s="206"/>
    </row>
    <row r="15" spans="1:23" s="444" customFormat="1" ht="12.75">
      <c r="A15" s="686"/>
      <c r="B15" s="440"/>
      <c r="C15" s="441"/>
      <c r="D15" s="441"/>
      <c r="E15" s="441"/>
      <c r="F15" s="441"/>
      <c r="G15" s="440"/>
      <c r="H15" s="442"/>
      <c r="I15" s="443"/>
      <c r="J15" s="443"/>
      <c r="K15" s="443"/>
      <c r="L15" s="442"/>
      <c r="M15" s="443"/>
      <c r="N15" s="442"/>
      <c r="O15" s="443"/>
      <c r="P15" s="443"/>
      <c r="Q15" s="443">
        <f>R15</f>
        <v>28419.9</v>
      </c>
      <c r="R15" s="442">
        <v>28419.9</v>
      </c>
      <c r="S15" s="443"/>
      <c r="T15" s="443"/>
      <c r="U15" s="443"/>
      <c r="V15" s="443"/>
      <c r="W15" s="451"/>
    </row>
    <row r="16" spans="1:23" s="57" customFormat="1" ht="38.25" customHeight="1">
      <c r="A16" s="105" t="s">
        <v>387</v>
      </c>
      <c r="B16" s="119"/>
      <c r="C16" s="120"/>
      <c r="D16" s="120"/>
      <c r="E16" s="120"/>
      <c r="F16" s="120"/>
      <c r="G16" s="121"/>
      <c r="H16" s="134">
        <v>26119.2</v>
      </c>
      <c r="I16" s="111">
        <v>0</v>
      </c>
      <c r="J16" s="111">
        <v>0</v>
      </c>
      <c r="K16" s="111"/>
      <c r="L16" s="134">
        <v>0</v>
      </c>
      <c r="M16" s="111"/>
      <c r="N16" s="134">
        <v>0</v>
      </c>
      <c r="O16" s="111">
        <v>0</v>
      </c>
      <c r="P16" s="111">
        <v>0</v>
      </c>
      <c r="Q16" s="111"/>
      <c r="R16" s="134">
        <v>0</v>
      </c>
      <c r="S16" s="111">
        <v>0</v>
      </c>
      <c r="T16" s="111">
        <v>0</v>
      </c>
      <c r="U16" s="115"/>
      <c r="V16" s="115"/>
      <c r="W16" s="56"/>
    </row>
    <row r="17" spans="1:23" s="57" customFormat="1" ht="27.75" customHeight="1">
      <c r="A17" s="105" t="s">
        <v>156</v>
      </c>
      <c r="B17" s="119"/>
      <c r="C17" s="120"/>
      <c r="D17" s="120"/>
      <c r="E17" s="120"/>
      <c r="F17" s="120"/>
      <c r="G17" s="121"/>
      <c r="H17" s="134">
        <v>13121</v>
      </c>
      <c r="I17" s="111">
        <v>0</v>
      </c>
      <c r="J17" s="111">
        <v>0</v>
      </c>
      <c r="K17" s="111"/>
      <c r="L17" s="134">
        <v>0</v>
      </c>
      <c r="M17" s="111"/>
      <c r="N17" s="134">
        <v>0</v>
      </c>
      <c r="O17" s="111">
        <v>0</v>
      </c>
      <c r="P17" s="111">
        <v>0</v>
      </c>
      <c r="Q17" s="111"/>
      <c r="R17" s="134">
        <v>0</v>
      </c>
      <c r="S17" s="111">
        <v>0</v>
      </c>
      <c r="T17" s="111">
        <v>0</v>
      </c>
      <c r="U17" s="115"/>
      <c r="V17" s="115"/>
      <c r="W17" s="56"/>
    </row>
    <row r="18" spans="1:22" s="7" customFormat="1" ht="27">
      <c r="A18" s="79" t="s">
        <v>230</v>
      </c>
      <c r="B18" s="40" t="s">
        <v>278</v>
      </c>
      <c r="C18" s="78" t="s">
        <v>231</v>
      </c>
      <c r="D18" s="40"/>
      <c r="E18" s="87"/>
      <c r="F18" s="87"/>
      <c r="G18" s="40">
        <f aca="true" t="shared" si="6" ref="G18:J19">SUM(G19)</f>
        <v>61941</v>
      </c>
      <c r="H18" s="132">
        <f>SUM(H19)</f>
        <v>61651</v>
      </c>
      <c r="I18" s="40">
        <f t="shared" si="6"/>
        <v>290</v>
      </c>
      <c r="J18" s="40">
        <f t="shared" si="6"/>
        <v>0</v>
      </c>
      <c r="K18" s="40"/>
      <c r="L18" s="132">
        <f>L19</f>
        <v>13367.6</v>
      </c>
      <c r="M18" s="40">
        <f aca="true" t="shared" si="7" ref="M18:T18">SUM(M19)</f>
        <v>1259</v>
      </c>
      <c r="N18" s="132">
        <f>SUM(N19)</f>
        <v>1257</v>
      </c>
      <c r="O18" s="40">
        <f t="shared" si="7"/>
        <v>2</v>
      </c>
      <c r="P18" s="40">
        <f t="shared" si="7"/>
        <v>0</v>
      </c>
      <c r="Q18" s="40">
        <f t="shared" si="7"/>
        <v>1259</v>
      </c>
      <c r="R18" s="132">
        <f>SUM(R19)</f>
        <v>1257</v>
      </c>
      <c r="S18" s="40">
        <f t="shared" si="7"/>
        <v>2</v>
      </c>
      <c r="T18" s="40">
        <f t="shared" si="7"/>
        <v>0</v>
      </c>
      <c r="U18" s="40">
        <f>SUM(N18/L18)*100</f>
        <v>9.403333433076993</v>
      </c>
      <c r="V18" s="40">
        <f>(R18/N18)*100</f>
        <v>100</v>
      </c>
    </row>
    <row r="19" spans="1:22" ht="12.75">
      <c r="A19" s="39" t="s">
        <v>279</v>
      </c>
      <c r="B19" s="39"/>
      <c r="C19" s="82" t="s">
        <v>231</v>
      </c>
      <c r="D19" s="82" t="s">
        <v>271</v>
      </c>
      <c r="E19" s="81"/>
      <c r="F19" s="81"/>
      <c r="G19" s="39">
        <f t="shared" si="6"/>
        <v>61941</v>
      </c>
      <c r="H19" s="130">
        <f>SUM(H20)</f>
        <v>61651</v>
      </c>
      <c r="I19" s="39">
        <f t="shared" si="6"/>
        <v>290</v>
      </c>
      <c r="J19" s="39">
        <f t="shared" si="6"/>
        <v>0</v>
      </c>
      <c r="K19" s="39"/>
      <c r="L19" s="130">
        <f>SUM(L20)</f>
        <v>13367.6</v>
      </c>
      <c r="M19" s="39">
        <f>SUM(M20)</f>
        <v>1259</v>
      </c>
      <c r="N19" s="130">
        <f>SUM(N20)</f>
        <v>1257</v>
      </c>
      <c r="O19" s="39">
        <f>SUM(O20)</f>
        <v>2</v>
      </c>
      <c r="P19" s="39">
        <f>SUM(P20)</f>
        <v>0</v>
      </c>
      <c r="Q19" s="39">
        <f>SUM(Q20)</f>
        <v>1259</v>
      </c>
      <c r="R19" s="130">
        <f>SUM(R20)</f>
        <v>1257</v>
      </c>
      <c r="S19" s="39">
        <f>SUM(S20)</f>
        <v>2</v>
      </c>
      <c r="T19" s="39">
        <f>SUM(T20)</f>
        <v>0</v>
      </c>
      <c r="U19" s="39"/>
      <c r="V19" s="39"/>
    </row>
    <row r="20" spans="1:22" ht="12.75">
      <c r="A20" s="39" t="s">
        <v>282</v>
      </c>
      <c r="B20" s="39"/>
      <c r="C20" s="82" t="s">
        <v>231</v>
      </c>
      <c r="D20" s="82" t="s">
        <v>271</v>
      </c>
      <c r="E20" s="82" t="s">
        <v>263</v>
      </c>
      <c r="F20" s="82"/>
      <c r="G20" s="39">
        <f>H20+I20+J20</f>
        <v>61941</v>
      </c>
      <c r="H20" s="130">
        <f>H21+H28</f>
        <v>61651</v>
      </c>
      <c r="I20" s="39">
        <f>I21+I28</f>
        <v>290</v>
      </c>
      <c r="J20" s="39">
        <f>J21+J28</f>
        <v>0</v>
      </c>
      <c r="K20" s="39"/>
      <c r="L20" s="130">
        <f>L21+L28</f>
        <v>13367.6</v>
      </c>
      <c r="M20" s="39">
        <f>N20+O20+P20</f>
        <v>1259</v>
      </c>
      <c r="N20" s="130">
        <f>N21+N28</f>
        <v>1257</v>
      </c>
      <c r="O20" s="39">
        <f>O21+O28</f>
        <v>2</v>
      </c>
      <c r="P20" s="39">
        <f>P21+P28</f>
        <v>0</v>
      </c>
      <c r="Q20" s="39">
        <f>R20+S20+T20</f>
        <v>1259</v>
      </c>
      <c r="R20" s="130">
        <f>R21+R28</f>
        <v>1257</v>
      </c>
      <c r="S20" s="39">
        <f>S21+S28</f>
        <v>2</v>
      </c>
      <c r="T20" s="39">
        <f>T21+T28</f>
        <v>0</v>
      </c>
      <c r="U20" s="39"/>
      <c r="V20" s="39"/>
    </row>
    <row r="21" spans="1:22" ht="12.75">
      <c r="A21" s="41" t="s">
        <v>257</v>
      </c>
      <c r="B21" s="39" t="s">
        <v>278</v>
      </c>
      <c r="C21" s="82" t="s">
        <v>231</v>
      </c>
      <c r="D21" s="82" t="s">
        <v>271</v>
      </c>
      <c r="E21" s="82" t="s">
        <v>263</v>
      </c>
      <c r="F21" s="82" t="s">
        <v>258</v>
      </c>
      <c r="G21" s="39">
        <f>SUM(G22)</f>
        <v>32937.6</v>
      </c>
      <c r="H21" s="130">
        <f>SUM(H22)</f>
        <v>32937.6</v>
      </c>
      <c r="I21" s="39">
        <f>I22</f>
        <v>0</v>
      </c>
      <c r="J21" s="39">
        <f>J22</f>
        <v>0</v>
      </c>
      <c r="K21" s="39"/>
      <c r="L21" s="130">
        <f>SUM(L22)</f>
        <v>13165.4</v>
      </c>
      <c r="M21" s="39">
        <f>SUM(M22)</f>
        <v>1054.8</v>
      </c>
      <c r="N21" s="130">
        <f>SUM(N22)</f>
        <v>1054.8</v>
      </c>
      <c r="O21" s="39">
        <f>O22</f>
        <v>0</v>
      </c>
      <c r="P21" s="39">
        <f>P22</f>
        <v>0</v>
      </c>
      <c r="Q21" s="39">
        <f>SUM(Q22)</f>
        <v>1054.8</v>
      </c>
      <c r="R21" s="130">
        <f>SUM(R22)</f>
        <v>1054.8</v>
      </c>
      <c r="S21" s="39">
        <f>S22</f>
        <v>0</v>
      </c>
      <c r="T21" s="39">
        <f>T22</f>
        <v>0</v>
      </c>
      <c r="U21" s="39">
        <f>(N21/L21)*100</f>
        <v>8.011910006532274</v>
      </c>
      <c r="V21" s="39">
        <f>(R21/N21)*100</f>
        <v>100</v>
      </c>
    </row>
    <row r="22" spans="1:22" ht="12.75">
      <c r="A22" s="84" t="s">
        <v>140</v>
      </c>
      <c r="B22" s="39" t="s">
        <v>278</v>
      </c>
      <c r="C22" s="82" t="s">
        <v>231</v>
      </c>
      <c r="D22" s="82" t="s">
        <v>271</v>
      </c>
      <c r="E22" s="82" t="s">
        <v>263</v>
      </c>
      <c r="F22" s="82" t="s">
        <v>258</v>
      </c>
      <c r="G22" s="39">
        <f>H22+I22+J22</f>
        <v>32937.6</v>
      </c>
      <c r="H22" s="130">
        <f>H23+H24+H25+H26+H27</f>
        <v>32937.6</v>
      </c>
      <c r="I22" s="39">
        <f>I23+I24+I25+I26+I27</f>
        <v>0</v>
      </c>
      <c r="J22" s="39">
        <f>J23+J24+J25+J26+J27</f>
        <v>0</v>
      </c>
      <c r="K22" s="39"/>
      <c r="L22" s="130">
        <f>L23+L24+L25+L26+L27</f>
        <v>13165.4</v>
      </c>
      <c r="M22" s="39">
        <f>N22+O22+P22</f>
        <v>1054.8</v>
      </c>
      <c r="N22" s="130">
        <f>N23+N24+N25+N26+N27</f>
        <v>1054.8</v>
      </c>
      <c r="O22" s="39">
        <f>O23+O24+O25+O26+O27</f>
        <v>0</v>
      </c>
      <c r="P22" s="39">
        <f>P23+P24+P25+P26+P27</f>
        <v>0</v>
      </c>
      <c r="Q22" s="39">
        <f>R22+S22+T22</f>
        <v>1054.8</v>
      </c>
      <c r="R22" s="130">
        <f>R23+R24+R25+R26+R27</f>
        <v>1054.8</v>
      </c>
      <c r="S22" s="39">
        <f>S23+S24+S25+S26+S27</f>
        <v>0</v>
      </c>
      <c r="T22" s="39">
        <f>T23+T24+T25+T26+T27</f>
        <v>0</v>
      </c>
      <c r="U22" s="39">
        <f>(N22/L22)*100</f>
        <v>8.011910006532274</v>
      </c>
      <c r="V22" s="39">
        <f>(R22/N22)*100</f>
        <v>100</v>
      </c>
    </row>
    <row r="23" spans="1:23" s="57" customFormat="1" ht="36">
      <c r="A23" s="158" t="s">
        <v>392</v>
      </c>
      <c r="B23" s="112"/>
      <c r="C23" s="156"/>
      <c r="D23" s="156"/>
      <c r="E23" s="156"/>
      <c r="F23" s="156"/>
      <c r="G23" s="121"/>
      <c r="H23" s="133">
        <v>20000</v>
      </c>
      <c r="I23" s="121">
        <v>0</v>
      </c>
      <c r="J23" s="121">
        <v>0</v>
      </c>
      <c r="K23" s="121"/>
      <c r="L23" s="133">
        <v>10595.4</v>
      </c>
      <c r="M23" s="121"/>
      <c r="N23" s="133">
        <v>0</v>
      </c>
      <c r="O23" s="121">
        <v>0</v>
      </c>
      <c r="P23" s="121">
        <v>0</v>
      </c>
      <c r="Q23" s="121"/>
      <c r="R23" s="133">
        <v>0</v>
      </c>
      <c r="S23" s="121">
        <v>0</v>
      </c>
      <c r="T23" s="121">
        <v>0</v>
      </c>
      <c r="U23" s="39"/>
      <c r="V23" s="39"/>
      <c r="W23" s="56"/>
    </row>
    <row r="24" spans="1:23" s="57" customFormat="1" ht="24">
      <c r="A24" s="159" t="s">
        <v>393</v>
      </c>
      <c r="B24" s="112"/>
      <c r="C24" s="156"/>
      <c r="D24" s="156"/>
      <c r="E24" s="156"/>
      <c r="F24" s="156"/>
      <c r="G24" s="118"/>
      <c r="H24" s="133">
        <v>1500</v>
      </c>
      <c r="I24" s="121">
        <v>0</v>
      </c>
      <c r="J24" s="121">
        <v>0</v>
      </c>
      <c r="K24" s="121"/>
      <c r="L24" s="133">
        <v>1000</v>
      </c>
      <c r="M24" s="121"/>
      <c r="N24" s="133">
        <v>646.9</v>
      </c>
      <c r="O24" s="121">
        <v>0</v>
      </c>
      <c r="P24" s="121">
        <v>0</v>
      </c>
      <c r="Q24" s="121"/>
      <c r="R24" s="133">
        <v>646.9</v>
      </c>
      <c r="S24" s="121">
        <v>0</v>
      </c>
      <c r="T24" s="121">
        <v>0</v>
      </c>
      <c r="U24" s="157"/>
      <c r="V24" s="157"/>
      <c r="W24" s="56"/>
    </row>
    <row r="25" spans="1:23" s="57" customFormat="1" ht="12.75">
      <c r="A25" s="158" t="s">
        <v>394</v>
      </c>
      <c r="B25" s="112"/>
      <c r="C25" s="156"/>
      <c r="D25" s="156"/>
      <c r="E25" s="156"/>
      <c r="F25" s="156"/>
      <c r="G25" s="118"/>
      <c r="H25" s="133">
        <v>2060</v>
      </c>
      <c r="I25" s="121">
        <v>0</v>
      </c>
      <c r="J25" s="121">
        <v>0</v>
      </c>
      <c r="K25" s="121"/>
      <c r="L25" s="133">
        <v>1060</v>
      </c>
      <c r="M25" s="121"/>
      <c r="N25" s="133">
        <v>0</v>
      </c>
      <c r="O25" s="121">
        <v>0</v>
      </c>
      <c r="P25" s="121">
        <v>0</v>
      </c>
      <c r="Q25" s="121"/>
      <c r="R25" s="133">
        <v>0</v>
      </c>
      <c r="S25" s="121">
        <v>0</v>
      </c>
      <c r="T25" s="121">
        <v>0</v>
      </c>
      <c r="U25" s="99"/>
      <c r="V25" s="99"/>
      <c r="W25" s="56"/>
    </row>
    <row r="26" spans="1:23" s="57" customFormat="1" ht="24">
      <c r="A26" s="158" t="s">
        <v>395</v>
      </c>
      <c r="B26" s="112"/>
      <c r="C26" s="156"/>
      <c r="D26" s="156"/>
      <c r="E26" s="156"/>
      <c r="F26" s="156"/>
      <c r="G26" s="118"/>
      <c r="H26" s="133">
        <v>6407.6</v>
      </c>
      <c r="I26" s="121">
        <v>0</v>
      </c>
      <c r="J26" s="121">
        <v>0</v>
      </c>
      <c r="K26" s="121"/>
      <c r="L26" s="133">
        <v>510</v>
      </c>
      <c r="M26" s="121"/>
      <c r="N26" s="133">
        <v>407.9</v>
      </c>
      <c r="O26" s="121">
        <v>0</v>
      </c>
      <c r="P26" s="121">
        <v>0</v>
      </c>
      <c r="Q26" s="121"/>
      <c r="R26" s="133">
        <v>407.9</v>
      </c>
      <c r="S26" s="121">
        <v>0</v>
      </c>
      <c r="T26" s="121">
        <v>0</v>
      </c>
      <c r="U26" s="99"/>
      <c r="V26" s="99"/>
      <c r="W26" s="56"/>
    </row>
    <row r="27" spans="1:23" s="57" customFormat="1" ht="24">
      <c r="A27" s="158" t="s">
        <v>396</v>
      </c>
      <c r="B27" s="112"/>
      <c r="C27" s="156"/>
      <c r="D27" s="156"/>
      <c r="E27" s="156"/>
      <c r="F27" s="156"/>
      <c r="G27" s="118"/>
      <c r="H27" s="133">
        <v>2970</v>
      </c>
      <c r="I27" s="121">
        <v>0</v>
      </c>
      <c r="J27" s="121">
        <v>0</v>
      </c>
      <c r="K27" s="121"/>
      <c r="L27" s="133">
        <v>0</v>
      </c>
      <c r="M27" s="121"/>
      <c r="N27" s="133">
        <v>0</v>
      </c>
      <c r="O27" s="121">
        <v>0</v>
      </c>
      <c r="P27" s="121">
        <v>0</v>
      </c>
      <c r="Q27" s="121"/>
      <c r="R27" s="133">
        <v>0</v>
      </c>
      <c r="S27" s="121">
        <v>0</v>
      </c>
      <c r="T27" s="121">
        <v>0</v>
      </c>
      <c r="U27" s="99"/>
      <c r="V27" s="99"/>
      <c r="W27" s="56"/>
    </row>
    <row r="28" spans="1:22" ht="12.75">
      <c r="A28" s="41" t="s">
        <v>240</v>
      </c>
      <c r="B28" s="39" t="s">
        <v>278</v>
      </c>
      <c r="C28" s="82" t="s">
        <v>231</v>
      </c>
      <c r="D28" s="82" t="s">
        <v>271</v>
      </c>
      <c r="E28" s="82" t="s">
        <v>263</v>
      </c>
      <c r="F28" s="82" t="s">
        <v>241</v>
      </c>
      <c r="G28" s="39">
        <f>G29</f>
        <v>29003.4</v>
      </c>
      <c r="H28" s="130">
        <f>H29</f>
        <v>28713.4</v>
      </c>
      <c r="I28" s="39">
        <f>I29</f>
        <v>290</v>
      </c>
      <c r="J28" s="39">
        <f>J29</f>
        <v>0</v>
      </c>
      <c r="K28" s="39"/>
      <c r="L28" s="130">
        <f aca="true" t="shared" si="8" ref="L28:T28">L29</f>
        <v>202.2</v>
      </c>
      <c r="M28" s="39">
        <f t="shared" si="8"/>
        <v>204.2</v>
      </c>
      <c r="N28" s="130">
        <f t="shared" si="8"/>
        <v>202.2</v>
      </c>
      <c r="O28" s="39">
        <f t="shared" si="8"/>
        <v>2</v>
      </c>
      <c r="P28" s="39">
        <f t="shared" si="8"/>
        <v>0</v>
      </c>
      <c r="Q28" s="39">
        <f t="shared" si="8"/>
        <v>204.2</v>
      </c>
      <c r="R28" s="130">
        <f t="shared" si="8"/>
        <v>202.2</v>
      </c>
      <c r="S28" s="39">
        <f t="shared" si="8"/>
        <v>2</v>
      </c>
      <c r="T28" s="39">
        <f t="shared" si="8"/>
        <v>0</v>
      </c>
      <c r="U28" s="39">
        <f>N28/L28*100</f>
        <v>100</v>
      </c>
      <c r="V28" s="39">
        <f>R28/N28*100</f>
        <v>100</v>
      </c>
    </row>
    <row r="29" spans="1:22" s="123" customFormat="1" ht="12.75">
      <c r="A29" s="185" t="s">
        <v>331</v>
      </c>
      <c r="B29" s="186"/>
      <c r="C29" s="187"/>
      <c r="D29" s="187"/>
      <c r="E29" s="187"/>
      <c r="F29" s="187"/>
      <c r="G29" s="186">
        <f>H29+I29+J29</f>
        <v>29003.4</v>
      </c>
      <c r="H29" s="188">
        <f>H30+H31+H32</f>
        <v>28713.4</v>
      </c>
      <c r="I29" s="186">
        <f>I30+I31+I32</f>
        <v>290</v>
      </c>
      <c r="J29" s="186">
        <f>J30+J31+J32</f>
        <v>0</v>
      </c>
      <c r="K29" s="186"/>
      <c r="L29" s="188">
        <f>L30+L31+L32</f>
        <v>202.2</v>
      </c>
      <c r="M29" s="186">
        <f>N29+O29+P29</f>
        <v>204.2</v>
      </c>
      <c r="N29" s="188">
        <f>N30+N31+N32</f>
        <v>202.2</v>
      </c>
      <c r="O29" s="186">
        <f>O30+O31+O32</f>
        <v>2</v>
      </c>
      <c r="P29" s="186">
        <f>P30+P31+P32</f>
        <v>0</v>
      </c>
      <c r="Q29" s="186">
        <f>R29+S29+T29</f>
        <v>204.2</v>
      </c>
      <c r="R29" s="188">
        <f>R30+R31+R32</f>
        <v>202.2</v>
      </c>
      <c r="S29" s="186">
        <f>S30+S31+S32</f>
        <v>2</v>
      </c>
      <c r="T29" s="186">
        <f>T30+T31+T32</f>
        <v>0</v>
      </c>
      <c r="U29" s="39">
        <f>N29/L29*100</f>
        <v>100</v>
      </c>
      <c r="V29" s="39">
        <f>R29/N29*100</f>
        <v>100</v>
      </c>
    </row>
    <row r="30" spans="1:22" s="22" customFormat="1" ht="24">
      <c r="A30" s="180" t="s">
        <v>397</v>
      </c>
      <c r="B30" s="111"/>
      <c r="C30" s="207"/>
      <c r="D30" s="207"/>
      <c r="E30" s="207"/>
      <c r="F30" s="207"/>
      <c r="G30" s="111"/>
      <c r="H30" s="134">
        <v>717.6</v>
      </c>
      <c r="I30" s="111">
        <v>7.2</v>
      </c>
      <c r="J30" s="111">
        <v>0</v>
      </c>
      <c r="K30" s="111"/>
      <c r="L30" s="134">
        <v>202.2</v>
      </c>
      <c r="M30" s="111"/>
      <c r="N30" s="134">
        <v>202.2</v>
      </c>
      <c r="O30" s="111">
        <v>2</v>
      </c>
      <c r="P30" s="111">
        <v>0</v>
      </c>
      <c r="Q30" s="111"/>
      <c r="R30" s="134">
        <v>202.2</v>
      </c>
      <c r="S30" s="111">
        <v>2</v>
      </c>
      <c r="T30" s="111">
        <v>0</v>
      </c>
      <c r="U30" s="111"/>
      <c r="V30" s="111"/>
    </row>
    <row r="31" spans="1:22" s="22" customFormat="1" ht="24">
      <c r="A31" s="180" t="s">
        <v>398</v>
      </c>
      <c r="B31" s="111"/>
      <c r="C31" s="207"/>
      <c r="D31" s="207"/>
      <c r="E31" s="207"/>
      <c r="F31" s="207"/>
      <c r="G31" s="111"/>
      <c r="H31" s="134">
        <v>9900</v>
      </c>
      <c r="I31" s="111">
        <v>100</v>
      </c>
      <c r="J31" s="111">
        <v>0</v>
      </c>
      <c r="K31" s="111"/>
      <c r="L31" s="134">
        <v>0</v>
      </c>
      <c r="M31" s="111"/>
      <c r="N31" s="134">
        <v>0</v>
      </c>
      <c r="O31" s="111">
        <v>0</v>
      </c>
      <c r="P31" s="111">
        <v>0</v>
      </c>
      <c r="Q31" s="111"/>
      <c r="R31" s="134">
        <v>0</v>
      </c>
      <c r="S31" s="111">
        <v>0</v>
      </c>
      <c r="T31" s="111">
        <v>0</v>
      </c>
      <c r="U31" s="111"/>
      <c r="V31" s="111"/>
    </row>
    <row r="32" spans="1:22" s="22" customFormat="1" ht="12.75">
      <c r="A32" s="180" t="s">
        <v>399</v>
      </c>
      <c r="B32" s="111"/>
      <c r="C32" s="207"/>
      <c r="D32" s="207"/>
      <c r="E32" s="207"/>
      <c r="F32" s="207"/>
      <c r="G32" s="111"/>
      <c r="H32" s="134">
        <v>18095.8</v>
      </c>
      <c r="I32" s="111">
        <f>182.7+0.1</f>
        <v>182.79999999999998</v>
      </c>
      <c r="J32" s="111">
        <v>0</v>
      </c>
      <c r="K32" s="111"/>
      <c r="L32" s="134">
        <v>0</v>
      </c>
      <c r="M32" s="111"/>
      <c r="N32" s="134">
        <v>0</v>
      </c>
      <c r="O32" s="111">
        <v>0</v>
      </c>
      <c r="P32" s="111">
        <v>0</v>
      </c>
      <c r="Q32" s="111"/>
      <c r="R32" s="134">
        <v>0</v>
      </c>
      <c r="S32" s="111">
        <v>0</v>
      </c>
      <c r="T32" s="111">
        <v>0</v>
      </c>
      <c r="U32" s="111"/>
      <c r="V32" s="111"/>
    </row>
    <row r="33" spans="1:22" ht="27">
      <c r="A33" s="79" t="s">
        <v>337</v>
      </c>
      <c r="B33" s="39" t="s">
        <v>278</v>
      </c>
      <c r="C33" s="82" t="s">
        <v>281</v>
      </c>
      <c r="D33" s="39"/>
      <c r="E33" s="81"/>
      <c r="F33" s="81"/>
      <c r="G33" s="40">
        <f>G34</f>
        <v>352915</v>
      </c>
      <c r="H33" s="132">
        <f>H34</f>
        <v>351928</v>
      </c>
      <c r="I33" s="40">
        <f>I34</f>
        <v>536.9999999999999</v>
      </c>
      <c r="J33" s="40">
        <f>J34</f>
        <v>450</v>
      </c>
      <c r="K33" s="40"/>
      <c r="L33" s="132">
        <f aca="true" t="shared" si="9" ref="L33:T33">L34</f>
        <v>36193.7</v>
      </c>
      <c r="M33" s="40">
        <f t="shared" si="9"/>
        <v>31079.000000000004</v>
      </c>
      <c r="N33" s="132">
        <f t="shared" si="9"/>
        <v>30967.500000000004</v>
      </c>
      <c r="O33" s="40">
        <f t="shared" si="9"/>
        <v>111.5</v>
      </c>
      <c r="P33" s="40">
        <f t="shared" si="9"/>
        <v>0</v>
      </c>
      <c r="Q33" s="40">
        <f t="shared" si="9"/>
        <v>31079.000000000004</v>
      </c>
      <c r="R33" s="132">
        <f t="shared" si="9"/>
        <v>30967.500000000004</v>
      </c>
      <c r="S33" s="40">
        <f t="shared" si="9"/>
        <v>111.5</v>
      </c>
      <c r="T33" s="40">
        <f t="shared" si="9"/>
        <v>0</v>
      </c>
      <c r="U33" s="40">
        <f>(N33/L33)*100</f>
        <v>85.5604704686175</v>
      </c>
      <c r="V33" s="40">
        <f>(R33/N33)*100</f>
        <v>100</v>
      </c>
    </row>
    <row r="34" spans="1:22" ht="12.75">
      <c r="A34" s="39" t="s">
        <v>279</v>
      </c>
      <c r="B34" s="39"/>
      <c r="C34" s="82" t="s">
        <v>281</v>
      </c>
      <c r="D34" s="82" t="s">
        <v>271</v>
      </c>
      <c r="E34" s="82"/>
      <c r="F34" s="82"/>
      <c r="G34" s="39">
        <f>H34+I34+J34</f>
        <v>352915</v>
      </c>
      <c r="H34" s="130">
        <f>H35+H59</f>
        <v>351928</v>
      </c>
      <c r="I34" s="39">
        <f>I35+I59</f>
        <v>536.9999999999999</v>
      </c>
      <c r="J34" s="39">
        <f>J35+J59</f>
        <v>450</v>
      </c>
      <c r="K34" s="39"/>
      <c r="L34" s="130">
        <f>L35+L59</f>
        <v>36193.7</v>
      </c>
      <c r="M34" s="39">
        <f>N34+O34+P34</f>
        <v>31079.000000000004</v>
      </c>
      <c r="N34" s="130">
        <f>N35+N59</f>
        <v>30967.500000000004</v>
      </c>
      <c r="O34" s="39">
        <f>O35+O59</f>
        <v>111.5</v>
      </c>
      <c r="P34" s="39">
        <f>P35+P59</f>
        <v>0</v>
      </c>
      <c r="Q34" s="39">
        <f>R34+S34+T34</f>
        <v>31079.000000000004</v>
      </c>
      <c r="R34" s="130">
        <f>R35+R59</f>
        <v>30967.500000000004</v>
      </c>
      <c r="S34" s="39">
        <f>S35+S59</f>
        <v>111.5</v>
      </c>
      <c r="T34" s="39">
        <f>T35+T59</f>
        <v>0</v>
      </c>
      <c r="U34" s="39"/>
      <c r="V34" s="39"/>
    </row>
    <row r="35" spans="1:22" ht="12.75">
      <c r="A35" s="39" t="s">
        <v>282</v>
      </c>
      <c r="B35" s="39"/>
      <c r="C35" s="82" t="s">
        <v>281</v>
      </c>
      <c r="D35" s="82" t="s">
        <v>271</v>
      </c>
      <c r="E35" s="82" t="s">
        <v>263</v>
      </c>
      <c r="F35" s="81"/>
      <c r="G35" s="39">
        <f>H35+I35+J35</f>
        <v>199281.4</v>
      </c>
      <c r="H35" s="130">
        <f>H36+H38+H58</f>
        <v>198744.4</v>
      </c>
      <c r="I35" s="39">
        <f>I36+I38+I58</f>
        <v>536.9999999999999</v>
      </c>
      <c r="J35" s="39">
        <f>J36+J38+J58</f>
        <v>0</v>
      </c>
      <c r="K35" s="39"/>
      <c r="L35" s="130">
        <f>L36+L38+L58</f>
        <v>15203.8</v>
      </c>
      <c r="M35" s="39">
        <f>N35+O35+P35</f>
        <v>11152.2</v>
      </c>
      <c r="N35" s="130">
        <f>N36+N38+N58</f>
        <v>11040.7</v>
      </c>
      <c r="O35" s="39">
        <f>O36+O38+O58</f>
        <v>111.5</v>
      </c>
      <c r="P35" s="39">
        <f>P36+P38+P58</f>
        <v>0</v>
      </c>
      <c r="Q35" s="39">
        <f>R35+S35+T35</f>
        <v>11152.2</v>
      </c>
      <c r="R35" s="130">
        <f>R36+R38+R58</f>
        <v>11040.7</v>
      </c>
      <c r="S35" s="39">
        <f>S36+S38+S58</f>
        <v>111.5</v>
      </c>
      <c r="T35" s="39">
        <f>T36+T38+T58</f>
        <v>0</v>
      </c>
      <c r="U35" s="39"/>
      <c r="V35" s="39"/>
    </row>
    <row r="36" spans="1:22" ht="12.75">
      <c r="A36" s="41" t="s">
        <v>257</v>
      </c>
      <c r="B36" s="39" t="s">
        <v>278</v>
      </c>
      <c r="C36" s="82" t="s">
        <v>281</v>
      </c>
      <c r="D36" s="82" t="s">
        <v>271</v>
      </c>
      <c r="E36" s="82" t="s">
        <v>263</v>
      </c>
      <c r="F36" s="81" t="s">
        <v>258</v>
      </c>
      <c r="G36" s="39">
        <f>H36+I36+J36</f>
        <v>3199.5</v>
      </c>
      <c r="H36" s="130">
        <f>H37</f>
        <v>3199.5</v>
      </c>
      <c r="I36" s="39">
        <f>I37</f>
        <v>0</v>
      </c>
      <c r="J36" s="39">
        <f>J37</f>
        <v>0</v>
      </c>
      <c r="K36" s="39"/>
      <c r="L36" s="130">
        <f>L37</f>
        <v>3199.5</v>
      </c>
      <c r="M36" s="39">
        <f>N36+O36+P36</f>
        <v>0</v>
      </c>
      <c r="N36" s="130">
        <f>N37</f>
        <v>0</v>
      </c>
      <c r="O36" s="39">
        <f>O37</f>
        <v>0</v>
      </c>
      <c r="P36" s="39">
        <f>P37</f>
        <v>0</v>
      </c>
      <c r="Q36" s="39">
        <f>R36+S36+T36</f>
        <v>0</v>
      </c>
      <c r="R36" s="130">
        <f>R37</f>
        <v>0</v>
      </c>
      <c r="S36" s="39">
        <f>S37</f>
        <v>0</v>
      </c>
      <c r="T36" s="39">
        <f>T37</f>
        <v>0</v>
      </c>
      <c r="U36" s="39">
        <f>(N36/L36)*100</f>
        <v>0</v>
      </c>
      <c r="V36" s="39">
        <v>0</v>
      </c>
    </row>
    <row r="37" spans="1:22" ht="35.25" customHeight="1">
      <c r="A37" s="105" t="s">
        <v>401</v>
      </c>
      <c r="B37" s="103"/>
      <c r="C37" s="102"/>
      <c r="D37" s="102"/>
      <c r="E37" s="102"/>
      <c r="F37" s="102"/>
      <c r="G37" s="103"/>
      <c r="H37" s="131">
        <v>3199.5</v>
      </c>
      <c r="I37" s="103">
        <v>0</v>
      </c>
      <c r="J37" s="103">
        <v>0</v>
      </c>
      <c r="K37" s="103"/>
      <c r="L37" s="131">
        <v>3199.5</v>
      </c>
      <c r="M37" s="103"/>
      <c r="N37" s="131">
        <v>0</v>
      </c>
      <c r="O37" s="103">
        <v>0</v>
      </c>
      <c r="P37" s="103">
        <v>0</v>
      </c>
      <c r="Q37" s="103"/>
      <c r="R37" s="131">
        <v>0</v>
      </c>
      <c r="S37" s="103">
        <v>0</v>
      </c>
      <c r="T37" s="103">
        <v>0</v>
      </c>
      <c r="U37" s="39"/>
      <c r="V37" s="39"/>
    </row>
    <row r="38" spans="1:22" ht="12.75">
      <c r="A38" s="41" t="s">
        <v>240</v>
      </c>
      <c r="B38" s="39" t="s">
        <v>278</v>
      </c>
      <c r="C38" s="82" t="s">
        <v>281</v>
      </c>
      <c r="D38" s="82" t="s">
        <v>271</v>
      </c>
      <c r="E38" s="82" t="s">
        <v>263</v>
      </c>
      <c r="F38" s="82" t="s">
        <v>241</v>
      </c>
      <c r="G38" s="39">
        <f>G39</f>
        <v>53700.4</v>
      </c>
      <c r="H38" s="130">
        <f>H39</f>
        <v>53163.4</v>
      </c>
      <c r="I38" s="39">
        <f>I39</f>
        <v>536.9999999999999</v>
      </c>
      <c r="J38" s="39">
        <f>J39</f>
        <v>0</v>
      </c>
      <c r="K38" s="39"/>
      <c r="L38" s="130">
        <f>SUM(L39)</f>
        <v>12004.3</v>
      </c>
      <c r="M38" s="39">
        <f aca="true" t="shared" si="10" ref="M38:T38">M39</f>
        <v>11152.2</v>
      </c>
      <c r="N38" s="130">
        <f t="shared" si="10"/>
        <v>11040.7</v>
      </c>
      <c r="O38" s="39">
        <f t="shared" si="10"/>
        <v>111.5</v>
      </c>
      <c r="P38" s="39">
        <f t="shared" si="10"/>
        <v>0</v>
      </c>
      <c r="Q38" s="39">
        <f t="shared" si="10"/>
        <v>11152.2</v>
      </c>
      <c r="R38" s="130">
        <f t="shared" si="10"/>
        <v>11040.7</v>
      </c>
      <c r="S38" s="39">
        <f t="shared" si="10"/>
        <v>111.5</v>
      </c>
      <c r="T38" s="39">
        <f t="shared" si="10"/>
        <v>0</v>
      </c>
      <c r="U38" s="39">
        <f>SUM(N38/L38)*100</f>
        <v>91.97287638596171</v>
      </c>
      <c r="V38" s="39">
        <f>(R38/N38)*100</f>
        <v>100</v>
      </c>
    </row>
    <row r="39" spans="1:22" s="123" customFormat="1" ht="12.75">
      <c r="A39" s="185" t="s">
        <v>242</v>
      </c>
      <c r="B39" s="186"/>
      <c r="C39" s="187"/>
      <c r="D39" s="187"/>
      <c r="E39" s="187"/>
      <c r="F39" s="187"/>
      <c r="G39" s="186">
        <f>H39+I39+J39</f>
        <v>53700.4</v>
      </c>
      <c r="H39" s="188">
        <f>H40</f>
        <v>53163.4</v>
      </c>
      <c r="I39" s="186">
        <f>I40</f>
        <v>536.9999999999999</v>
      </c>
      <c r="J39" s="186">
        <f>J40</f>
        <v>0</v>
      </c>
      <c r="K39" s="186"/>
      <c r="L39" s="188">
        <f>L40</f>
        <v>12004.3</v>
      </c>
      <c r="M39" s="186">
        <f>N39+O39+P39</f>
        <v>11152.2</v>
      </c>
      <c r="N39" s="188">
        <f>N40</f>
        <v>11040.7</v>
      </c>
      <c r="O39" s="186">
        <f>O40</f>
        <v>111.5</v>
      </c>
      <c r="P39" s="186">
        <f>P40</f>
        <v>0</v>
      </c>
      <c r="Q39" s="186">
        <f>R39+S39+T39</f>
        <v>11152.2</v>
      </c>
      <c r="R39" s="188">
        <f>R40</f>
        <v>11040.7</v>
      </c>
      <c r="S39" s="186">
        <f>S40</f>
        <v>111.5</v>
      </c>
      <c r="T39" s="186">
        <f>T40</f>
        <v>0</v>
      </c>
      <c r="U39" s="39">
        <f>SUM(N39/L39)*100</f>
        <v>91.97287638596171</v>
      </c>
      <c r="V39" s="39">
        <f>(R39/N39)*100</f>
        <v>100</v>
      </c>
    </row>
    <row r="40" spans="1:22" s="22" customFormat="1" ht="12.75">
      <c r="A40" s="180" t="s">
        <v>403</v>
      </c>
      <c r="B40" s="103"/>
      <c r="C40" s="102"/>
      <c r="D40" s="102"/>
      <c r="E40" s="102"/>
      <c r="F40" s="102"/>
      <c r="G40" s="103"/>
      <c r="H40" s="131">
        <f>H41+H42+H43+H44+H45+H46+H47+H48+H49+H50+H51+H52+H53+H54+H55+H56+H57</f>
        <v>53163.4</v>
      </c>
      <c r="I40" s="103">
        <f>I41+I42+I43+I44+I45+I46+I47+I48+I49+I50+I51+I52+I53+I54+I55+I56+I57</f>
        <v>536.9999999999999</v>
      </c>
      <c r="J40" s="103">
        <v>0</v>
      </c>
      <c r="K40" s="103"/>
      <c r="L40" s="131">
        <v>12004.3</v>
      </c>
      <c r="M40" s="103"/>
      <c r="N40" s="131">
        <v>11040.7</v>
      </c>
      <c r="O40" s="103">
        <f>O41+O42+O43+O44+O45+O46+O47+O48+O49+O50+O51+O52+O53+O54+O55+O56+O57</f>
        <v>111.5</v>
      </c>
      <c r="P40" s="103">
        <v>0</v>
      </c>
      <c r="Q40" s="103"/>
      <c r="R40" s="131">
        <f>R41+R42+R43+R44+R45+R46+R47+R48+R49+R50+R51+R52+R53+R54+R55+R56+R57</f>
        <v>11040.7</v>
      </c>
      <c r="S40" s="103">
        <f>S41+S42+S43+S44+S45+S46+S47+S48+S49+S50+S51+S52+S53+S54+S55+S56+S57</f>
        <v>111.5</v>
      </c>
      <c r="T40" s="103">
        <v>0</v>
      </c>
      <c r="U40" s="39"/>
      <c r="V40" s="39"/>
    </row>
    <row r="41" spans="1:23" s="148" customFormat="1" ht="12.75">
      <c r="A41" s="198" t="s">
        <v>404</v>
      </c>
      <c r="B41" s="200"/>
      <c r="C41" s="201"/>
      <c r="D41" s="201"/>
      <c r="E41" s="201"/>
      <c r="F41" s="201"/>
      <c r="G41" s="200"/>
      <c r="H41" s="202">
        <v>3057.1</v>
      </c>
      <c r="I41" s="200">
        <v>30.9</v>
      </c>
      <c r="J41" s="200">
        <v>0</v>
      </c>
      <c r="K41" s="200"/>
      <c r="L41" s="202">
        <v>0</v>
      </c>
      <c r="M41" s="200"/>
      <c r="N41" s="202"/>
      <c r="O41" s="200">
        <v>0</v>
      </c>
      <c r="P41" s="200">
        <v>0</v>
      </c>
      <c r="Q41" s="200"/>
      <c r="R41" s="202"/>
      <c r="S41" s="200">
        <v>0</v>
      </c>
      <c r="T41" s="200">
        <v>0</v>
      </c>
      <c r="U41" s="200"/>
      <c r="V41" s="200"/>
      <c r="W41" s="203"/>
    </row>
    <row r="42" spans="1:23" s="148" customFormat="1" ht="12.75">
      <c r="A42" s="198" t="s">
        <v>405</v>
      </c>
      <c r="B42" s="200"/>
      <c r="C42" s="201"/>
      <c r="D42" s="201"/>
      <c r="E42" s="201"/>
      <c r="F42" s="201"/>
      <c r="G42" s="200"/>
      <c r="H42" s="202">
        <v>5460.8</v>
      </c>
      <c r="I42" s="200">
        <v>55.2</v>
      </c>
      <c r="J42" s="200">
        <v>0</v>
      </c>
      <c r="K42" s="200"/>
      <c r="L42" s="202">
        <v>0</v>
      </c>
      <c r="M42" s="200"/>
      <c r="N42" s="202"/>
      <c r="O42" s="200">
        <v>0</v>
      </c>
      <c r="P42" s="200">
        <v>0</v>
      </c>
      <c r="Q42" s="200"/>
      <c r="R42" s="202"/>
      <c r="S42" s="200">
        <v>0</v>
      </c>
      <c r="T42" s="200">
        <v>0</v>
      </c>
      <c r="U42" s="200"/>
      <c r="V42" s="200"/>
      <c r="W42" s="203"/>
    </row>
    <row r="43" spans="1:23" s="148" customFormat="1" ht="22.5">
      <c r="A43" s="198" t="s">
        <v>406</v>
      </c>
      <c r="B43" s="200"/>
      <c r="C43" s="201"/>
      <c r="D43" s="201"/>
      <c r="E43" s="201"/>
      <c r="F43" s="201"/>
      <c r="G43" s="200"/>
      <c r="H43" s="202">
        <v>2178</v>
      </c>
      <c r="I43" s="200">
        <v>22</v>
      </c>
      <c r="J43" s="200">
        <v>0</v>
      </c>
      <c r="K43" s="200"/>
      <c r="L43" s="202">
        <v>0</v>
      </c>
      <c r="M43" s="200"/>
      <c r="N43" s="202"/>
      <c r="O43" s="200">
        <v>0</v>
      </c>
      <c r="P43" s="200">
        <v>0</v>
      </c>
      <c r="Q43" s="200"/>
      <c r="R43" s="202"/>
      <c r="S43" s="200">
        <v>0</v>
      </c>
      <c r="T43" s="200">
        <v>0</v>
      </c>
      <c r="U43" s="200"/>
      <c r="V43" s="200"/>
      <c r="W43" s="203"/>
    </row>
    <row r="44" spans="1:23" s="148" customFormat="1" ht="12.75">
      <c r="A44" s="198" t="s">
        <v>407</v>
      </c>
      <c r="B44" s="200"/>
      <c r="C44" s="201"/>
      <c r="D44" s="201"/>
      <c r="E44" s="201"/>
      <c r="F44" s="201"/>
      <c r="G44" s="200"/>
      <c r="H44" s="202">
        <v>990</v>
      </c>
      <c r="I44" s="200">
        <v>10</v>
      </c>
      <c r="J44" s="200">
        <v>0</v>
      </c>
      <c r="K44" s="200"/>
      <c r="L44" s="202">
        <v>0</v>
      </c>
      <c r="M44" s="200"/>
      <c r="N44" s="202"/>
      <c r="O44" s="200">
        <v>0</v>
      </c>
      <c r="P44" s="200">
        <v>0</v>
      </c>
      <c r="Q44" s="200"/>
      <c r="R44" s="202"/>
      <c r="S44" s="200">
        <v>0</v>
      </c>
      <c r="T44" s="200">
        <v>0</v>
      </c>
      <c r="U44" s="200"/>
      <c r="V44" s="200"/>
      <c r="W44" s="203"/>
    </row>
    <row r="45" spans="1:23" s="148" customFormat="1" ht="12.75">
      <c r="A45" s="198" t="s">
        <v>408</v>
      </c>
      <c r="B45" s="200"/>
      <c r="C45" s="201"/>
      <c r="D45" s="201"/>
      <c r="E45" s="201"/>
      <c r="F45" s="201"/>
      <c r="G45" s="200"/>
      <c r="H45" s="202">
        <v>758.3</v>
      </c>
      <c r="I45" s="200">
        <v>7.7</v>
      </c>
      <c r="J45" s="200">
        <v>0</v>
      </c>
      <c r="K45" s="200"/>
      <c r="L45" s="202">
        <v>0</v>
      </c>
      <c r="M45" s="200"/>
      <c r="N45" s="202"/>
      <c r="O45" s="200">
        <v>0</v>
      </c>
      <c r="P45" s="200">
        <v>0</v>
      </c>
      <c r="Q45" s="200"/>
      <c r="R45" s="202"/>
      <c r="S45" s="200">
        <v>0</v>
      </c>
      <c r="T45" s="200">
        <v>0</v>
      </c>
      <c r="U45" s="200"/>
      <c r="V45" s="200"/>
      <c r="W45" s="203"/>
    </row>
    <row r="46" spans="1:23" s="148" customFormat="1" ht="22.5">
      <c r="A46" s="198" t="s">
        <v>409</v>
      </c>
      <c r="B46" s="200"/>
      <c r="C46" s="201"/>
      <c r="D46" s="201"/>
      <c r="E46" s="201"/>
      <c r="F46" s="201"/>
      <c r="G46" s="200"/>
      <c r="H46" s="202">
        <v>1672.1</v>
      </c>
      <c r="I46" s="200">
        <v>16.9</v>
      </c>
      <c r="J46" s="200">
        <v>0</v>
      </c>
      <c r="K46" s="200"/>
      <c r="L46" s="202">
        <v>1672.1</v>
      </c>
      <c r="M46" s="200"/>
      <c r="N46" s="202">
        <v>1672.1</v>
      </c>
      <c r="O46" s="200">
        <v>16.9</v>
      </c>
      <c r="P46" s="200">
        <v>0</v>
      </c>
      <c r="Q46" s="200"/>
      <c r="R46" s="202">
        <v>1672.1</v>
      </c>
      <c r="S46" s="200">
        <v>16.9</v>
      </c>
      <c r="T46" s="200">
        <v>0</v>
      </c>
      <c r="U46" s="200"/>
      <c r="V46" s="200"/>
      <c r="W46" s="203"/>
    </row>
    <row r="47" spans="1:23" s="148" customFormat="1" ht="12.75">
      <c r="A47" s="199" t="s">
        <v>434</v>
      </c>
      <c r="B47" s="200"/>
      <c r="C47" s="201"/>
      <c r="D47" s="201"/>
      <c r="E47" s="201"/>
      <c r="F47" s="201"/>
      <c r="G47" s="200"/>
      <c r="H47" s="202">
        <v>6286.6</v>
      </c>
      <c r="I47" s="200">
        <v>63.4</v>
      </c>
      <c r="J47" s="200">
        <v>0</v>
      </c>
      <c r="K47" s="200"/>
      <c r="L47" s="202">
        <v>0</v>
      </c>
      <c r="M47" s="200"/>
      <c r="N47" s="202"/>
      <c r="O47" s="200">
        <v>0</v>
      </c>
      <c r="P47" s="200">
        <v>0</v>
      </c>
      <c r="Q47" s="200"/>
      <c r="R47" s="202"/>
      <c r="S47" s="200">
        <v>0</v>
      </c>
      <c r="T47" s="200">
        <v>0</v>
      </c>
      <c r="U47" s="200"/>
      <c r="V47" s="200"/>
      <c r="W47" s="203"/>
    </row>
    <row r="48" spans="1:23" s="148" customFormat="1" ht="22.5">
      <c r="A48" s="198" t="s">
        <v>435</v>
      </c>
      <c r="B48" s="200"/>
      <c r="C48" s="201"/>
      <c r="D48" s="201"/>
      <c r="E48" s="201"/>
      <c r="F48" s="201"/>
      <c r="G48" s="200"/>
      <c r="H48" s="202">
        <v>2187.9</v>
      </c>
      <c r="I48" s="200">
        <v>22.1</v>
      </c>
      <c r="J48" s="200">
        <v>0</v>
      </c>
      <c r="K48" s="200"/>
      <c r="L48" s="202">
        <v>0</v>
      </c>
      <c r="M48" s="200"/>
      <c r="N48" s="202"/>
      <c r="O48" s="200">
        <v>0</v>
      </c>
      <c r="P48" s="200">
        <v>0</v>
      </c>
      <c r="Q48" s="200"/>
      <c r="R48" s="202"/>
      <c r="S48" s="200">
        <v>0</v>
      </c>
      <c r="T48" s="200">
        <v>0</v>
      </c>
      <c r="U48" s="200"/>
      <c r="V48" s="200"/>
      <c r="W48" s="203"/>
    </row>
    <row r="49" spans="1:23" s="148" customFormat="1" ht="15" customHeight="1">
      <c r="A49" s="198" t="s">
        <v>436</v>
      </c>
      <c r="B49" s="200"/>
      <c r="C49" s="201"/>
      <c r="D49" s="201"/>
      <c r="E49" s="201"/>
      <c r="F49" s="201"/>
      <c r="G49" s="200"/>
      <c r="H49" s="202">
        <v>1039.5</v>
      </c>
      <c r="I49" s="200">
        <v>10.5</v>
      </c>
      <c r="J49" s="200">
        <v>0</v>
      </c>
      <c r="K49" s="200"/>
      <c r="L49" s="202">
        <v>0</v>
      </c>
      <c r="M49" s="200"/>
      <c r="N49" s="202"/>
      <c r="O49" s="200">
        <v>0</v>
      </c>
      <c r="P49" s="200">
        <v>0</v>
      </c>
      <c r="Q49" s="200"/>
      <c r="R49" s="202"/>
      <c r="S49" s="200">
        <v>0</v>
      </c>
      <c r="T49" s="200">
        <v>0</v>
      </c>
      <c r="U49" s="200"/>
      <c r="V49" s="200"/>
      <c r="W49" s="203"/>
    </row>
    <row r="50" spans="1:23" s="148" customFormat="1" ht="21.75" customHeight="1">
      <c r="A50" s="198" t="s">
        <v>437</v>
      </c>
      <c r="B50" s="200"/>
      <c r="C50" s="201"/>
      <c r="D50" s="201"/>
      <c r="E50" s="201"/>
      <c r="F50" s="201"/>
      <c r="G50" s="200"/>
      <c r="H50" s="202">
        <v>1039.5</v>
      </c>
      <c r="I50" s="200">
        <v>10.5</v>
      </c>
      <c r="J50" s="200">
        <v>0</v>
      </c>
      <c r="K50" s="200"/>
      <c r="L50" s="202">
        <v>0</v>
      </c>
      <c r="M50" s="200"/>
      <c r="N50" s="202"/>
      <c r="O50" s="200">
        <v>0</v>
      </c>
      <c r="P50" s="200">
        <v>0</v>
      </c>
      <c r="Q50" s="200"/>
      <c r="R50" s="202"/>
      <c r="S50" s="200">
        <v>0</v>
      </c>
      <c r="T50" s="200">
        <v>0</v>
      </c>
      <c r="U50" s="200"/>
      <c r="V50" s="200"/>
      <c r="W50" s="203"/>
    </row>
    <row r="51" spans="1:23" s="148" customFormat="1" ht="12.75">
      <c r="A51" s="198" t="s">
        <v>438</v>
      </c>
      <c r="B51" s="200"/>
      <c r="C51" s="201"/>
      <c r="D51" s="201"/>
      <c r="E51" s="201"/>
      <c r="F51" s="201"/>
      <c r="G51" s="200"/>
      <c r="H51" s="202">
        <v>3976.8</v>
      </c>
      <c r="I51" s="200">
        <v>40.2</v>
      </c>
      <c r="J51" s="200">
        <v>0</v>
      </c>
      <c r="K51" s="200"/>
      <c r="L51" s="202">
        <v>0</v>
      </c>
      <c r="M51" s="200"/>
      <c r="N51" s="202"/>
      <c r="O51" s="200">
        <v>0</v>
      </c>
      <c r="P51" s="200">
        <v>0</v>
      </c>
      <c r="Q51" s="200"/>
      <c r="R51" s="202"/>
      <c r="S51" s="200">
        <v>0</v>
      </c>
      <c r="T51" s="200">
        <v>0</v>
      </c>
      <c r="U51" s="200"/>
      <c r="V51" s="200"/>
      <c r="W51" s="203"/>
    </row>
    <row r="52" spans="1:23" s="148" customFormat="1" ht="12.75">
      <c r="A52" s="198" t="s">
        <v>439</v>
      </c>
      <c r="B52" s="200"/>
      <c r="C52" s="201"/>
      <c r="D52" s="201"/>
      <c r="E52" s="201"/>
      <c r="F52" s="201"/>
      <c r="G52" s="200"/>
      <c r="H52" s="202">
        <v>2871</v>
      </c>
      <c r="I52" s="200">
        <v>29</v>
      </c>
      <c r="J52" s="200">
        <v>0</v>
      </c>
      <c r="K52" s="200"/>
      <c r="L52" s="202">
        <v>0</v>
      </c>
      <c r="M52" s="200"/>
      <c r="N52" s="202"/>
      <c r="O52" s="200">
        <v>0</v>
      </c>
      <c r="P52" s="200">
        <v>0</v>
      </c>
      <c r="Q52" s="200"/>
      <c r="R52" s="202"/>
      <c r="S52" s="200">
        <v>0</v>
      </c>
      <c r="T52" s="200">
        <v>0</v>
      </c>
      <c r="U52" s="200"/>
      <c r="V52" s="200"/>
      <c r="W52" s="203"/>
    </row>
    <row r="53" spans="1:23" s="148" customFormat="1" ht="12.75">
      <c r="A53" s="198" t="s">
        <v>440</v>
      </c>
      <c r="B53" s="200"/>
      <c r="C53" s="201"/>
      <c r="D53" s="201"/>
      <c r="E53" s="201"/>
      <c r="F53" s="201"/>
      <c r="G53" s="200"/>
      <c r="H53" s="202">
        <v>2871</v>
      </c>
      <c r="I53" s="200">
        <v>29</v>
      </c>
      <c r="J53" s="200">
        <v>0</v>
      </c>
      <c r="K53" s="200"/>
      <c r="L53" s="202">
        <v>0</v>
      </c>
      <c r="M53" s="200"/>
      <c r="N53" s="202"/>
      <c r="O53" s="200">
        <v>0</v>
      </c>
      <c r="P53" s="200">
        <v>0</v>
      </c>
      <c r="Q53" s="200"/>
      <c r="R53" s="202"/>
      <c r="S53" s="200">
        <v>0</v>
      </c>
      <c r="T53" s="200">
        <v>0</v>
      </c>
      <c r="U53" s="200"/>
      <c r="V53" s="200"/>
      <c r="W53" s="203"/>
    </row>
    <row r="54" spans="1:23" s="148" customFormat="1" ht="12.75">
      <c r="A54" s="198" t="s">
        <v>441</v>
      </c>
      <c r="B54" s="200"/>
      <c r="C54" s="201"/>
      <c r="D54" s="201"/>
      <c r="E54" s="201"/>
      <c r="F54" s="201"/>
      <c r="G54" s="200"/>
      <c r="H54" s="202">
        <v>2871</v>
      </c>
      <c r="I54" s="200">
        <v>29</v>
      </c>
      <c r="J54" s="200">
        <v>0</v>
      </c>
      <c r="K54" s="200"/>
      <c r="L54" s="202">
        <v>0</v>
      </c>
      <c r="M54" s="200"/>
      <c r="N54" s="202"/>
      <c r="O54" s="200">
        <v>0</v>
      </c>
      <c r="P54" s="200">
        <v>0</v>
      </c>
      <c r="Q54" s="200"/>
      <c r="R54" s="202"/>
      <c r="S54" s="200">
        <v>0</v>
      </c>
      <c r="T54" s="200">
        <v>0</v>
      </c>
      <c r="U54" s="200"/>
      <c r="V54" s="200"/>
      <c r="W54" s="203"/>
    </row>
    <row r="55" spans="1:23" s="234" customFormat="1" ht="22.5">
      <c r="A55" s="198" t="s">
        <v>161</v>
      </c>
      <c r="B55" s="311"/>
      <c r="C55" s="543"/>
      <c r="D55" s="543"/>
      <c r="E55" s="543"/>
      <c r="F55" s="543"/>
      <c r="G55" s="311"/>
      <c r="H55" s="313">
        <v>2000</v>
      </c>
      <c r="I55" s="311">
        <v>20.2</v>
      </c>
      <c r="J55" s="311">
        <v>0</v>
      </c>
      <c r="K55" s="311"/>
      <c r="L55" s="202">
        <v>0</v>
      </c>
      <c r="M55" s="200"/>
      <c r="N55" s="202"/>
      <c r="O55" s="200">
        <v>0</v>
      </c>
      <c r="P55" s="200">
        <v>0</v>
      </c>
      <c r="Q55" s="200"/>
      <c r="R55" s="202"/>
      <c r="S55" s="200">
        <v>0</v>
      </c>
      <c r="T55" s="200">
        <v>0</v>
      </c>
      <c r="U55" s="311"/>
      <c r="V55" s="311"/>
      <c r="W55" s="277"/>
    </row>
    <row r="56" spans="1:23" s="148" customFormat="1" ht="22.5">
      <c r="A56" s="198" t="s">
        <v>442</v>
      </c>
      <c r="B56" s="200"/>
      <c r="C56" s="201"/>
      <c r="D56" s="201"/>
      <c r="E56" s="201"/>
      <c r="F56" s="201"/>
      <c r="G56" s="200"/>
      <c r="H56" s="202">
        <v>12389.1</v>
      </c>
      <c r="I56" s="200">
        <v>125.1</v>
      </c>
      <c r="J56" s="200">
        <v>0</v>
      </c>
      <c r="K56" s="200"/>
      <c r="L56" s="202">
        <v>10332.2</v>
      </c>
      <c r="M56" s="200"/>
      <c r="N56" s="202">
        <v>9368.6</v>
      </c>
      <c r="O56" s="200">
        <v>94.6</v>
      </c>
      <c r="P56" s="200">
        <v>0</v>
      </c>
      <c r="Q56" s="200"/>
      <c r="R56" s="202">
        <v>9368.6</v>
      </c>
      <c r="S56" s="200">
        <v>94.6</v>
      </c>
      <c r="T56" s="200">
        <v>0</v>
      </c>
      <c r="U56" s="200"/>
      <c r="V56" s="200"/>
      <c r="W56" s="203"/>
    </row>
    <row r="57" spans="1:22" s="277" customFormat="1" ht="33.75">
      <c r="A57" s="544" t="s">
        <v>159</v>
      </c>
      <c r="B57" s="311"/>
      <c r="C57" s="543"/>
      <c r="D57" s="543"/>
      <c r="E57" s="543"/>
      <c r="F57" s="543"/>
      <c r="G57" s="311"/>
      <c r="H57" s="313">
        <v>1514.7</v>
      </c>
      <c r="I57" s="311">
        <v>15.3</v>
      </c>
      <c r="J57" s="311">
        <v>0</v>
      </c>
      <c r="K57" s="311"/>
      <c r="L57" s="202">
        <v>0</v>
      </c>
      <c r="M57" s="200"/>
      <c r="N57" s="202"/>
      <c r="O57" s="200">
        <v>0</v>
      </c>
      <c r="P57" s="200">
        <v>0</v>
      </c>
      <c r="Q57" s="200"/>
      <c r="R57" s="202"/>
      <c r="S57" s="200">
        <v>0</v>
      </c>
      <c r="T57" s="200">
        <v>0</v>
      </c>
      <c r="U57" s="311"/>
      <c r="V57" s="311"/>
    </row>
    <row r="58" spans="1:22" ht="24">
      <c r="A58" s="189" t="s">
        <v>402</v>
      </c>
      <c r="B58" s="39" t="s">
        <v>278</v>
      </c>
      <c r="C58" s="82" t="s">
        <v>281</v>
      </c>
      <c r="D58" s="82" t="s">
        <v>271</v>
      </c>
      <c r="E58" s="82" t="s">
        <v>263</v>
      </c>
      <c r="F58" s="82" t="s">
        <v>400</v>
      </c>
      <c r="G58" s="39">
        <f>H58+I58+J58</f>
        <v>142381.5</v>
      </c>
      <c r="H58" s="130">
        <v>142381.5</v>
      </c>
      <c r="I58" s="39">
        <v>0</v>
      </c>
      <c r="J58" s="39">
        <v>0</v>
      </c>
      <c r="K58" s="39"/>
      <c r="L58" s="130">
        <v>0</v>
      </c>
      <c r="M58" s="39">
        <f>N58+O58+P58</f>
        <v>0</v>
      </c>
      <c r="N58" s="130">
        <v>0</v>
      </c>
      <c r="O58" s="39">
        <v>0</v>
      </c>
      <c r="P58" s="39">
        <v>0</v>
      </c>
      <c r="Q58" s="39">
        <f>R58+S58+T58</f>
        <v>0</v>
      </c>
      <c r="R58" s="130">
        <v>0</v>
      </c>
      <c r="S58" s="39">
        <v>0</v>
      </c>
      <c r="T58" s="39">
        <v>0</v>
      </c>
      <c r="U58" s="39"/>
      <c r="V58" s="39"/>
    </row>
    <row r="59" spans="1:22" ht="12.75">
      <c r="A59" s="39" t="s">
        <v>280</v>
      </c>
      <c r="B59" s="39" t="s">
        <v>278</v>
      </c>
      <c r="C59" s="82" t="s">
        <v>281</v>
      </c>
      <c r="D59" s="82" t="s">
        <v>271</v>
      </c>
      <c r="E59" s="82" t="s">
        <v>269</v>
      </c>
      <c r="F59" s="82"/>
      <c r="G59" s="39">
        <f>H59+I59+J59</f>
        <v>153633.6</v>
      </c>
      <c r="H59" s="130">
        <f>H60+H65</f>
        <v>153183.6</v>
      </c>
      <c r="I59" s="39">
        <f>I60+I65</f>
        <v>0</v>
      </c>
      <c r="J59" s="39">
        <f>J60+J65</f>
        <v>450</v>
      </c>
      <c r="K59" s="39"/>
      <c r="L59" s="130">
        <f>L60+L65</f>
        <v>20989.9</v>
      </c>
      <c r="M59" s="39">
        <f>N59+O59+P59</f>
        <v>19926.800000000003</v>
      </c>
      <c r="N59" s="130">
        <f>N60+N65</f>
        <v>19926.800000000003</v>
      </c>
      <c r="O59" s="39">
        <f>O60+O65</f>
        <v>0</v>
      </c>
      <c r="P59" s="39">
        <f>P60+P65</f>
        <v>0</v>
      </c>
      <c r="Q59" s="39">
        <f>R59+S59+T59</f>
        <v>19926.800000000003</v>
      </c>
      <c r="R59" s="130">
        <f>R60+R65</f>
        <v>19926.800000000003</v>
      </c>
      <c r="S59" s="39">
        <f>S60+S65</f>
        <v>0</v>
      </c>
      <c r="T59" s="39">
        <f>T60+T65</f>
        <v>0</v>
      </c>
      <c r="U59" s="39">
        <f>N59/L59*100</f>
        <v>94.93518311187763</v>
      </c>
      <c r="V59" s="39">
        <f>(R59/N59)*100</f>
        <v>100</v>
      </c>
    </row>
    <row r="60" spans="1:22" ht="12.75">
      <c r="A60" s="39" t="s">
        <v>324</v>
      </c>
      <c r="B60" s="39" t="s">
        <v>278</v>
      </c>
      <c r="C60" s="82" t="s">
        <v>281</v>
      </c>
      <c r="D60" s="82" t="s">
        <v>271</v>
      </c>
      <c r="E60" s="82" t="s">
        <v>269</v>
      </c>
      <c r="F60" s="82" t="s">
        <v>276</v>
      </c>
      <c r="G60" s="39">
        <f>H60+I60+J60</f>
        <v>147992.6</v>
      </c>
      <c r="H60" s="130">
        <f>H61+H62+H63+H64</f>
        <v>147542.6</v>
      </c>
      <c r="I60" s="39">
        <f>I61+I62</f>
        <v>0</v>
      </c>
      <c r="J60" s="39">
        <f>J61+J62</f>
        <v>450</v>
      </c>
      <c r="K60" s="39"/>
      <c r="L60" s="130">
        <f>L61+L62+L63+L64</f>
        <v>20260</v>
      </c>
      <c r="M60" s="39">
        <f>N60+O60+P60</f>
        <v>19386.9</v>
      </c>
      <c r="N60" s="130">
        <f>N61+N62+N63+N64</f>
        <v>19386.9</v>
      </c>
      <c r="O60" s="39">
        <f>O61+O62</f>
        <v>0</v>
      </c>
      <c r="P60" s="39">
        <f>P61+P62</f>
        <v>0</v>
      </c>
      <c r="Q60" s="39">
        <f>R60+S60+T60</f>
        <v>19386.9</v>
      </c>
      <c r="R60" s="130">
        <f>R61+R62+R63+R64</f>
        <v>19386.9</v>
      </c>
      <c r="S60" s="39">
        <f>S61+S62</f>
        <v>0</v>
      </c>
      <c r="T60" s="39">
        <f>T61+T62</f>
        <v>0</v>
      </c>
      <c r="U60" s="39">
        <f>N60/L60*100</f>
        <v>95.69052319842054</v>
      </c>
      <c r="V60" s="39">
        <f>(R60/N60)*100</f>
        <v>100</v>
      </c>
    </row>
    <row r="61" spans="1:22" s="22" customFormat="1" ht="36">
      <c r="A61" s="105" t="s">
        <v>112</v>
      </c>
      <c r="B61" s="103"/>
      <c r="C61" s="102"/>
      <c r="D61" s="102"/>
      <c r="E61" s="102"/>
      <c r="F61" s="102"/>
      <c r="G61" s="103"/>
      <c r="H61" s="131">
        <v>450</v>
      </c>
      <c r="I61" s="103">
        <v>0</v>
      </c>
      <c r="J61" s="103">
        <v>450</v>
      </c>
      <c r="K61" s="103"/>
      <c r="L61" s="131">
        <v>0</v>
      </c>
      <c r="M61" s="103"/>
      <c r="N61" s="131">
        <v>0</v>
      </c>
      <c r="O61" s="103">
        <v>0</v>
      </c>
      <c r="P61" s="103">
        <v>0</v>
      </c>
      <c r="Q61" s="103"/>
      <c r="R61" s="131">
        <v>0</v>
      </c>
      <c r="S61" s="103">
        <v>0</v>
      </c>
      <c r="T61" s="103">
        <v>0</v>
      </c>
      <c r="U61" s="39"/>
      <c r="V61" s="39"/>
    </row>
    <row r="62" spans="1:23" s="22" customFormat="1" ht="105.75" customHeight="1">
      <c r="A62" s="105" t="s">
        <v>113</v>
      </c>
      <c r="B62" s="103"/>
      <c r="C62" s="102"/>
      <c r="D62" s="102"/>
      <c r="E62" s="102"/>
      <c r="F62" s="102"/>
      <c r="G62" s="103"/>
      <c r="H62" s="131">
        <v>39378.4</v>
      </c>
      <c r="I62" s="103">
        <v>0</v>
      </c>
      <c r="J62" s="103">
        <v>0</v>
      </c>
      <c r="K62" s="103"/>
      <c r="L62" s="131">
        <v>20260</v>
      </c>
      <c r="M62" s="103"/>
      <c r="N62" s="131">
        <v>19386.9</v>
      </c>
      <c r="O62" s="103">
        <v>0</v>
      </c>
      <c r="P62" s="103">
        <v>0</v>
      </c>
      <c r="Q62" s="103"/>
      <c r="R62" s="131">
        <v>19386.9</v>
      </c>
      <c r="S62" s="103">
        <v>0</v>
      </c>
      <c r="T62" s="103">
        <v>0</v>
      </c>
      <c r="U62" s="39"/>
      <c r="V62" s="39"/>
      <c r="W62" s="109"/>
    </row>
    <row r="63" spans="1:23" s="22" customFormat="1" ht="54" customHeight="1">
      <c r="A63" s="105" t="s">
        <v>160</v>
      </c>
      <c r="B63" s="103"/>
      <c r="C63" s="102"/>
      <c r="D63" s="102"/>
      <c r="E63" s="102"/>
      <c r="F63" s="102"/>
      <c r="G63" s="103"/>
      <c r="H63" s="131">
        <v>101981.2</v>
      </c>
      <c r="I63" s="103">
        <v>0</v>
      </c>
      <c r="J63" s="103">
        <v>0</v>
      </c>
      <c r="K63" s="103"/>
      <c r="L63" s="131">
        <v>0</v>
      </c>
      <c r="M63" s="103"/>
      <c r="N63" s="131">
        <v>0</v>
      </c>
      <c r="O63" s="103">
        <v>0</v>
      </c>
      <c r="P63" s="103">
        <v>0</v>
      </c>
      <c r="Q63" s="103"/>
      <c r="R63" s="131">
        <v>0</v>
      </c>
      <c r="S63" s="103">
        <v>0</v>
      </c>
      <c r="T63" s="103">
        <v>0</v>
      </c>
      <c r="U63" s="39"/>
      <c r="V63" s="39"/>
      <c r="W63" s="109"/>
    </row>
    <row r="64" spans="1:23" s="22" customFormat="1" ht="48" customHeight="1">
      <c r="A64" s="105" t="s">
        <v>162</v>
      </c>
      <c r="B64" s="103"/>
      <c r="C64" s="102"/>
      <c r="D64" s="102"/>
      <c r="E64" s="102"/>
      <c r="F64" s="102"/>
      <c r="G64" s="103"/>
      <c r="H64" s="131">
        <v>5733</v>
      </c>
      <c r="I64" s="103">
        <v>0</v>
      </c>
      <c r="J64" s="103">
        <v>0</v>
      </c>
      <c r="K64" s="103"/>
      <c r="L64" s="131">
        <v>0</v>
      </c>
      <c r="M64" s="103"/>
      <c r="N64" s="131">
        <v>0</v>
      </c>
      <c r="O64" s="103">
        <v>0</v>
      </c>
      <c r="P64" s="103">
        <v>0</v>
      </c>
      <c r="Q64" s="103"/>
      <c r="R64" s="131">
        <v>0</v>
      </c>
      <c r="S64" s="103">
        <v>0</v>
      </c>
      <c r="T64" s="103">
        <v>0</v>
      </c>
      <c r="U64" s="39"/>
      <c r="V64" s="39"/>
      <c r="W64" s="109"/>
    </row>
    <row r="65" spans="1:22" ht="12.75">
      <c r="A65" s="39" t="s">
        <v>248</v>
      </c>
      <c r="B65" s="39" t="s">
        <v>278</v>
      </c>
      <c r="C65" s="82" t="s">
        <v>281</v>
      </c>
      <c r="D65" s="82" t="s">
        <v>271</v>
      </c>
      <c r="E65" s="82" t="s">
        <v>269</v>
      </c>
      <c r="F65" s="82" t="s">
        <v>249</v>
      </c>
      <c r="G65" s="39">
        <f>H65+I65+J65</f>
        <v>5641</v>
      </c>
      <c r="H65" s="130">
        <f>H66+H67+H68</f>
        <v>5641</v>
      </c>
      <c r="I65" s="39">
        <f>I66</f>
        <v>0</v>
      </c>
      <c r="J65" s="39">
        <f>J66</f>
        <v>0</v>
      </c>
      <c r="K65" s="39"/>
      <c r="L65" s="130">
        <f>L66+L67+L68</f>
        <v>729.9</v>
      </c>
      <c r="M65" s="39">
        <f>N65+O65+P65</f>
        <v>539.9</v>
      </c>
      <c r="N65" s="130">
        <f>N66+N67+N68</f>
        <v>539.9</v>
      </c>
      <c r="O65" s="39">
        <f>O66</f>
        <v>0</v>
      </c>
      <c r="P65" s="39">
        <f>P66</f>
        <v>0</v>
      </c>
      <c r="Q65" s="39">
        <f>R65+S65+T65</f>
        <v>539.9</v>
      </c>
      <c r="R65" s="130">
        <f>R66+R67+R68</f>
        <v>539.9</v>
      </c>
      <c r="S65" s="39">
        <f>S66</f>
        <v>0</v>
      </c>
      <c r="T65" s="39">
        <f>T66</f>
        <v>0</v>
      </c>
      <c r="U65" s="115">
        <f>SUM(N65/L65)*100</f>
        <v>73.96903685436361</v>
      </c>
      <c r="V65" s="39">
        <f>(R65/N65)*100</f>
        <v>100</v>
      </c>
    </row>
    <row r="66" spans="1:23" s="57" customFormat="1" ht="24">
      <c r="A66" s="105" t="s">
        <v>114</v>
      </c>
      <c r="B66" s="119"/>
      <c r="C66" s="120"/>
      <c r="D66" s="120"/>
      <c r="E66" s="120"/>
      <c r="F66" s="120"/>
      <c r="G66" s="121"/>
      <c r="H66" s="133">
        <v>4813</v>
      </c>
      <c r="I66" s="121">
        <v>0</v>
      </c>
      <c r="J66" s="121">
        <v>0</v>
      </c>
      <c r="K66" s="121"/>
      <c r="L66" s="133">
        <v>729.9</v>
      </c>
      <c r="M66" s="121"/>
      <c r="N66" s="133">
        <v>539.9</v>
      </c>
      <c r="O66" s="121">
        <v>0</v>
      </c>
      <c r="P66" s="121">
        <v>0</v>
      </c>
      <c r="Q66" s="121"/>
      <c r="R66" s="133">
        <v>539.9</v>
      </c>
      <c r="S66" s="121">
        <v>0</v>
      </c>
      <c r="T66" s="121">
        <v>0</v>
      </c>
      <c r="U66" s="39"/>
      <c r="V66" s="39"/>
      <c r="W66" s="56"/>
    </row>
    <row r="67" spans="1:22" ht="24">
      <c r="A67" s="105" t="s">
        <v>157</v>
      </c>
      <c r="B67" s="39"/>
      <c r="C67" s="81"/>
      <c r="D67" s="39"/>
      <c r="E67" s="81"/>
      <c r="F67" s="81"/>
      <c r="G67" s="39"/>
      <c r="H67" s="384">
        <v>730</v>
      </c>
      <c r="I67" s="381">
        <v>0</v>
      </c>
      <c r="J67" s="381">
        <v>0</v>
      </c>
      <c r="K67" s="381"/>
      <c r="L67" s="384">
        <v>0</v>
      </c>
      <c r="M67" s="381"/>
      <c r="N67" s="384">
        <v>0</v>
      </c>
      <c r="O67" s="381">
        <v>0</v>
      </c>
      <c r="P67" s="381">
        <v>0</v>
      </c>
      <c r="Q67" s="381"/>
      <c r="R67" s="384">
        <v>0</v>
      </c>
      <c r="S67" s="381">
        <v>0</v>
      </c>
      <c r="T67" s="381">
        <v>0</v>
      </c>
      <c r="U67" s="381"/>
      <c r="V67" s="381"/>
    </row>
    <row r="68" spans="1:22" ht="12.75" customHeight="1">
      <c r="A68" s="105" t="s">
        <v>158</v>
      </c>
      <c r="B68" s="39"/>
      <c r="C68" s="81"/>
      <c r="D68" s="39"/>
      <c r="E68" s="81"/>
      <c r="F68" s="81"/>
      <c r="G68" s="39"/>
      <c r="H68" s="384">
        <v>98</v>
      </c>
      <c r="I68" s="381">
        <v>0</v>
      </c>
      <c r="J68" s="381">
        <v>0</v>
      </c>
      <c r="K68" s="381"/>
      <c r="L68" s="384">
        <v>0</v>
      </c>
      <c r="M68" s="381"/>
      <c r="N68" s="384">
        <v>0</v>
      </c>
      <c r="O68" s="381">
        <v>0</v>
      </c>
      <c r="P68" s="381">
        <v>0</v>
      </c>
      <c r="Q68" s="381"/>
      <c r="R68" s="384">
        <v>0</v>
      </c>
      <c r="S68" s="381">
        <v>0</v>
      </c>
      <c r="T68" s="381">
        <v>0</v>
      </c>
      <c r="U68" s="381"/>
      <c r="V68" s="381"/>
    </row>
  </sheetData>
  <mergeCells count="19">
    <mergeCell ref="V5:V7"/>
    <mergeCell ref="U5:U7"/>
    <mergeCell ref="L5:L7"/>
    <mergeCell ref="H5:K5"/>
    <mergeCell ref="H6:K6"/>
    <mergeCell ref="R5:T5"/>
    <mergeCell ref="Q5:Q7"/>
    <mergeCell ref="R6:T6"/>
    <mergeCell ref="N6:P6"/>
    <mergeCell ref="N5:P5"/>
    <mergeCell ref="A14:A15"/>
    <mergeCell ref="M5:M7"/>
    <mergeCell ref="D5:D7"/>
    <mergeCell ref="E5:E7"/>
    <mergeCell ref="F5:F7"/>
    <mergeCell ref="A5:A7"/>
    <mergeCell ref="B5:B7"/>
    <mergeCell ref="C5:C7"/>
    <mergeCell ref="G5:G7"/>
  </mergeCells>
  <printOptions gridLines="1"/>
  <pageMargins left="0.1968503937007874" right="0" top="0.5905511811023623" bottom="0.1968503937007874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Ванеканева</cp:lastModifiedBy>
  <cp:lastPrinted>2013-07-18T08:14:57Z</cp:lastPrinted>
  <dcterms:created xsi:type="dcterms:W3CDTF">2010-09-09T06:53:55Z</dcterms:created>
  <dcterms:modified xsi:type="dcterms:W3CDTF">2013-07-18T10:42:58Z</dcterms:modified>
  <cp:category/>
  <cp:version/>
  <cp:contentType/>
  <cp:contentStatus/>
</cp:coreProperties>
</file>