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4935" windowWidth="15480" windowHeight="11640" tabRatio="983" activeTab="0"/>
  </bookViews>
  <sheets>
    <sheet name="522 51 01" sheetId="1" r:id="rId1"/>
    <sheet name="522 51 02" sheetId="2" r:id="rId2"/>
    <sheet name="522 51 03" sheetId="3" r:id="rId3"/>
    <sheet name="522 01 04" sheetId="4" r:id="rId4"/>
    <sheet name="522 51 05" sheetId="5" r:id="rId5"/>
    <sheet name="522 52 00" sheetId="6" r:id="rId6"/>
    <sheet name="5225300" sheetId="7" r:id="rId7"/>
    <sheet name="5225500" sheetId="8" r:id="rId8"/>
    <sheet name="5225800" sheetId="9" r:id="rId9"/>
    <sheet name="5225900" sheetId="10" r:id="rId10"/>
    <sheet name="5226000" sheetId="11" r:id="rId11"/>
    <sheet name="5226100" sheetId="12" r:id="rId12"/>
    <sheet name="5226600" sheetId="13" r:id="rId13"/>
  </sheets>
  <definedNames>
    <definedName name="Z_3F14DAE4_D9E6_46EA_83BC_7BC6C981A0C2_.wvu.Cols" localSheetId="6" hidden="1">'5225300'!#REF!</definedName>
    <definedName name="Z_3F14DAE4_D9E6_46EA_83BC_7BC6C981A0C2_.wvu.Rows" localSheetId="9" hidden="1">'5225900'!$34:$34,'5225900'!$50:$51,'5225900'!$55:$59</definedName>
    <definedName name="Z_5275A543_0463_4677_9060_C646D7A09C6C_.wvu.Cols" localSheetId="4" hidden="1">'522 51 05'!$D:$D</definedName>
    <definedName name="Z_5275A543_0463_4677_9060_C646D7A09C6C_.wvu.Cols" localSheetId="6" hidden="1">'5225300'!#REF!</definedName>
    <definedName name="Z_5275A543_0463_4677_9060_C646D7A09C6C_.wvu.Rows" localSheetId="9" hidden="1">'5225900'!$34:$34,'5225900'!$50:$51,'5225900'!$55:$59</definedName>
    <definedName name="Z_7729AD0C_8273_4298_A6A0_91043CBC3B7A_.wvu.Cols" localSheetId="4" hidden="1">'522 51 05'!$D:$D</definedName>
    <definedName name="Z_7729AD0C_8273_4298_A6A0_91043CBC3B7A_.wvu.PrintArea" localSheetId="7" hidden="1">'5225500'!$A$1:$K$61</definedName>
    <definedName name="Z_7729AD0C_8273_4298_A6A0_91043CBC3B7A_.wvu.Rows" localSheetId="9" hidden="1">'5225900'!$34:$34,'5225900'!$50:$51,'5225900'!$55:$59</definedName>
    <definedName name="Z_95AA5530_54DB_4CE5_A521_628D694DCBAD_.wvu.Cols" localSheetId="6" hidden="1">'5225300'!#REF!</definedName>
    <definedName name="Z_95AA5530_54DB_4CE5_A521_628D694DCBAD_.wvu.Rows" localSheetId="9" hidden="1">'5225900'!$34:$34,'5225900'!$50:$51,'5225900'!$55:$59</definedName>
    <definedName name="_xlnm.Print_Area" localSheetId="3">'522 01 04'!$A$1:$G$49</definedName>
    <definedName name="_xlnm.Print_Area" localSheetId="0">'522 51 01'!$A$1:$I$54</definedName>
    <definedName name="_xlnm.Print_Area" localSheetId="1">'522 51 02'!$A$1:$H$51</definedName>
    <definedName name="_xlnm.Print_Area" localSheetId="2">'522 51 03'!$A$1:$G$45</definedName>
    <definedName name="_xlnm.Print_Area" localSheetId="4">'522 51 05'!$A$1:$G$51</definedName>
    <definedName name="_xlnm.Print_Area" localSheetId="5">'522 52 00'!$A$1:$F$57</definedName>
    <definedName name="_xlnm.Print_Area" localSheetId="6">'5225300'!$A$1:$L$51</definedName>
    <definedName name="_xlnm.Print_Area" localSheetId="7">'5225500'!$A$1:$K$61</definedName>
    <definedName name="_xlnm.Print_Area" localSheetId="9">'5225900'!$A$1:$F$99</definedName>
    <definedName name="_xlnm.Print_Area" localSheetId="12">'5226600'!$A$1:$F$48</definedName>
  </definedNames>
  <calcPr fullCalcOnLoad="1"/>
</workbook>
</file>

<file path=xl/comments7.xml><?xml version="1.0" encoding="utf-8"?>
<comments xmlns="http://schemas.openxmlformats.org/spreadsheetml/2006/main">
  <authors>
    <author>plenokos</author>
  </authors>
  <commentList>
    <comment ref="H11" authorId="0">
      <text>
        <r>
          <rPr>
            <b/>
            <sz val="8"/>
            <rFont val="Tahoma"/>
            <family val="0"/>
          </rPr>
          <t>plenokos:</t>
        </r>
        <r>
          <rPr>
            <sz val="8"/>
            <rFont val="Tahoma"/>
            <family val="0"/>
          </rPr>
          <t xml:space="preserve">
20 в ЗР
10 в Городе
</t>
        </r>
      </text>
    </comment>
    <comment ref="H10" authorId="0">
      <text>
        <r>
          <rPr>
            <b/>
            <sz val="8"/>
            <rFont val="Tahoma"/>
            <family val="0"/>
          </rPr>
          <t>plenokos:</t>
        </r>
        <r>
          <rPr>
            <sz val="8"/>
            <rFont val="Tahoma"/>
            <family val="0"/>
          </rPr>
          <t xml:space="preserve">
4407,9 в Городе
??? В ЗР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8"/>
            <rFont val="Tahoma"/>
            <family val="0"/>
          </rPr>
          <t>Пленокос:</t>
        </r>
        <r>
          <rPr>
            <sz val="8"/>
            <rFont val="Tahoma"/>
            <family val="0"/>
          </rPr>
          <t xml:space="preserve">
откорректировано: 
№2 - 3,9; №11 - 2,3; №14 - 15,14</t>
        </r>
      </text>
    </comment>
    <comment ref="D10" authorId="0">
      <text>
        <r>
          <rPr>
            <b/>
            <sz val="8"/>
            <rFont val="Tahoma"/>
            <family val="0"/>
          </rPr>
          <t>Пленокос:</t>
        </r>
        <r>
          <rPr>
            <sz val="8"/>
            <rFont val="Tahoma"/>
            <family val="0"/>
          </rPr>
          <t xml:space="preserve">
№11 +7,24
</t>
        </r>
      </text>
    </comment>
  </commentList>
</comments>
</file>

<file path=xl/sharedStrings.xml><?xml version="1.0" encoding="utf-8"?>
<sst xmlns="http://schemas.openxmlformats.org/spreadsheetml/2006/main" count="1231" uniqueCount="497">
  <si>
    <t xml:space="preserve"> - улучшение жилищных условий граждан за счёт предоставления по договорам найма специализированного жилищного фонда</t>
  </si>
  <si>
    <t>до 5 семей</t>
  </si>
  <si>
    <t>до 10 семей</t>
  </si>
  <si>
    <t>Перевод на полное благоустройство многоквартирных домов (ул. Первомайская, Южная, Явтысого)</t>
  </si>
  <si>
    <t>Реконструкция котельных № 2, 11, 14</t>
  </si>
  <si>
    <t>Софинансирование строительства школы № 4</t>
  </si>
  <si>
    <t>От 0 до 1 (1)</t>
  </si>
  <si>
    <t>От 0 до 1 (0,99)</t>
  </si>
  <si>
    <t>Снижение объёма завоза топлива в населенные пункты НАО на обеспечение выработки электроэнергии (в натуральном выражении)</t>
  </si>
  <si>
    <t>Снижение объёма завоза топлива в населенные пункты НАО на обеспечение выработки электроэнергии (в стоимостном выражении)</t>
  </si>
  <si>
    <t>от 0 до 1 (0,79)</t>
  </si>
  <si>
    <t xml:space="preserve">Эффективность реализации целевой программы - 86,7%. Программа эффективна. Реализация Программы завершена, однако за период действия Программы не удалось в полном объеме достичь целевых показателей. Основная причина не выполнения показателя по капитальному ремонту - недобросовестность подрядчиков, нарушающих сроки и условия контрактов. Мероприятия по строительству жилья по договорам социального найма и специализированного жилищного фонда с 2011 года включены  в ДЦП "Жилище" на 2011-2022 годы и были завершены в рамках подпрограммы "Строительство специализированного жилищного фонда и жилых помещений, предоставляемых гражданам по договорам социального найма". </t>
  </si>
  <si>
    <t>Доля объемов электроэнергии, расчёты за которую осуществляются с использованием приборов учёта (в части многоквартирных  домов (далее -МКД)- с использованием коллективных приборов учёта), в общем объеме электроэнергии, потребляемой на территории НАО (%)</t>
  </si>
  <si>
    <t>Доля объемов теплооэнергии, расчёты за которую осуществляются с использованием приборов учёта (в части МКД)- с использованием коллективных приборов учёта), в общем объеме теплоэнергии, потребляемой на территории НАО (%)</t>
  </si>
  <si>
    <t>Доля расходов бюджета субъекта Российской Федерации на обеспечение энергетическими ресурсами БУ (для сопоставимых условий),%</t>
  </si>
  <si>
    <t>Доля расходов бюджета субъекта Российской Федерации на обеспечение энергетическими ресурсами БУ (для фактических условий),%</t>
  </si>
  <si>
    <t>Динамика расходов бюджета субъекта Российской Федерации на обеспечение энергетическими ресурсами БУ (для фактических условий),млн.руб.</t>
  </si>
  <si>
    <t>Динамика расходов бюджета субъекта Российской Федерации на обеспечение энергетическими и ресурсами БУ (для сопоставимых условий),млн.руб</t>
  </si>
  <si>
    <t>Удельные расходы бюджета субъекта Российской Федерации на предоставление социальной поддержки гражданам по оплате жилого помещения и коммунальных услуг на 1 чел.</t>
  </si>
  <si>
    <t>Доля расходов бюджета субъекта Российской Федерации на предоставление субсидий организациям коммунального комплекса на приобретение топлива,%</t>
  </si>
  <si>
    <t>Динамика расходов бюджета субъекта Российской Федерации на предоставление субсидий организациям коммунального комплекса на приобретение топлива,   млн.руб.</t>
  </si>
  <si>
    <t>Доля БУ, финансируемых за счет бюджета субъекта Российской Федерации, в общем объеме БУ, в отношении которых проведено обязательное энергетическое обследование,%</t>
  </si>
  <si>
    <t>Число энергосервисных договоров, заключенных государственными заказчиками, шт.</t>
  </si>
  <si>
    <t>Доля государственных заказчиков в общем объеме государственных заказчиков, которыми заключены энергосервисные договоры, %</t>
  </si>
  <si>
    <t>Доля товаров, работ, услуг, закупаемых для государственных нужд в соответствии с требованиями энергетической эффективности, в общем объеме закупаемых товаров, работ, услуг для государственных нужд, %</t>
  </si>
  <si>
    <t>данные в 2010 году     не представлялись</t>
  </si>
  <si>
    <t>Заключение:</t>
  </si>
  <si>
    <t>1. Актуальность на настоящий момент Программы в целом и её мероприятий в соответствии с социально-экономическими приоритетами Российской Федерации, Ненецкого автономного округа</t>
  </si>
  <si>
    <t>2. Соответствие целей и задач мероприятий целевой программы полномочиям Ненецкого автономного округа как субъекта Российской Федерации</t>
  </si>
  <si>
    <t>3. Наличие в отчете о выполнении целевых программ годовых количественных измерений целевых показателей  (индикаторов), отражающих цели Программы и достижение результатов её реализации</t>
  </si>
  <si>
    <t>4. Соответствие достигнутых в отчётном году целевых показателей (индикаторов) целевым показателям (индикаторам), утверждённым в целевой программе</t>
  </si>
  <si>
    <t>Отношение достигнутых целевых показателей к целевым показателям, запланированной Программой</t>
  </si>
  <si>
    <t>5.1.1. Выполнение мероприятий Программы</t>
  </si>
  <si>
    <t>Доля выполненных мероприятий от общего числа запланированных мероприятий. Невыполненным признаётся также и мероприятие которое выполнено частично</t>
  </si>
  <si>
    <t>5.1.2. Осуществление ввода в действие объектов капитального строительства, предусмотренных в Программе</t>
  </si>
  <si>
    <t>Доля выполненных мероприятий от общего числа запланированных мероприятий. Невыполненным признаётся также и мероприятие, которое выполнено частично</t>
  </si>
  <si>
    <t>5.2. Выполнение запланированных мероприятий Программы с начала её реализации</t>
  </si>
  <si>
    <t>5.2.1. Выполнение мероприятий Программы</t>
  </si>
  <si>
    <t>5.2.2. Осуществление ввода в действие объектов капитального строительства, предусмотренных в Программе</t>
  </si>
  <si>
    <t>6. Доля фактического объема финансирования Программы от запланированного финансирования</t>
  </si>
  <si>
    <t>6.1. Уровень фактического финансового обеспечения целевой программы в целом по источникам финансирования</t>
  </si>
  <si>
    <t>6.1.1. Уровень фактического финансового обеспечения целевой Программы с начала её реализации</t>
  </si>
  <si>
    <t xml:space="preserve"> 2012 г.              План</t>
  </si>
  <si>
    <t xml:space="preserve"> 2010 г.          Факт</t>
  </si>
  <si>
    <t xml:space="preserve"> 2012 г.          Факт</t>
  </si>
  <si>
    <t>подпрограмма 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долгосрочной целевой программы Ненецкого автономного округа  "Жилище" на 2011 - 2022 годы</t>
  </si>
  <si>
    <t xml:space="preserve"> "Развитие городского округа "Город Нарьян-Мар" на 2009 - 2013 годы"</t>
  </si>
  <si>
    <t xml:space="preserve"> 2012      План</t>
  </si>
  <si>
    <t xml:space="preserve"> 2012           Факт</t>
  </si>
  <si>
    <t>Начальник Управления финансов Ненецкого автономного округа</t>
  </si>
  <si>
    <t>Доля объёмов природного газа, потребляемого бюджетными учреждениями, расчёты за который осуществляются с использованием приборов учёта, в общем объёме природного газа, потребляемого бюджетными учреждениями на территории НАО (%)</t>
  </si>
  <si>
    <t>создание условий для предоставления иранспортных услуг населению в части воздушных перевозок</t>
  </si>
  <si>
    <t>(ДЦП продлена до 2015 года)</t>
  </si>
  <si>
    <t>Начальник Управления финансов           Ненецкого автономного округа</t>
  </si>
  <si>
    <t>2010 г.                        факт</t>
  </si>
  <si>
    <t>2011 г.                        факт</t>
  </si>
  <si>
    <t>2012г.     План</t>
  </si>
  <si>
    <t>2012 г.     Факт</t>
  </si>
  <si>
    <t>от 0 до 1   (0,36)</t>
  </si>
  <si>
    <t>От 0 до 1 (0,972)</t>
  </si>
  <si>
    <t>От 0 до 1 (0,941)</t>
  </si>
  <si>
    <t xml:space="preserve">от 0 до 1 (0,058) </t>
  </si>
  <si>
    <t>от 0 до 1   (0,047)</t>
  </si>
  <si>
    <t>от 0 до 1   (0,9)</t>
  </si>
  <si>
    <t xml:space="preserve"> "Переселение граждан Ненецкого автономного округа из жилищного фонда, признанного непригодным для проживания, и / или с высоким уровнем износа"                                        долгосрочной целевой программы Ненецкого автономного округа  "Жилище" на 2011 -2022 годы</t>
  </si>
  <si>
    <t>по окончанию первого года реализации программы показатель не рассчитывался</t>
  </si>
  <si>
    <r>
      <t>3.</t>
    </r>
    <r>
      <rPr>
        <sz val="8"/>
        <rFont val="Arial"/>
        <family val="2"/>
      </rPr>
      <t xml:space="preserve"> Наличие в отчете о выполнении целевых программ годовых количественных измерений целевых показателей  (индикаторов), отражающих цели Программы и достижение результатов её реализации</t>
    </r>
  </si>
  <si>
    <r>
      <t xml:space="preserve">4. </t>
    </r>
    <r>
      <rPr>
        <sz val="8"/>
        <rFont val="Arial"/>
        <family val="2"/>
      </rPr>
      <t>Соответствие достигнутых в отчётном году целевых показателей (индикаторов) целевым показателям (индикаторам), утверждённым в целевой программе</t>
    </r>
  </si>
  <si>
    <t xml:space="preserve">Доля выполненных мероприятий от общего числа запланированных мероприятий. Невыполненным признаётся также и мероприятие которое выполнено частично </t>
  </si>
  <si>
    <t xml:space="preserve"> 2009      План</t>
  </si>
  <si>
    <t xml:space="preserve"> 2009           Факт</t>
  </si>
  <si>
    <t xml:space="preserve"> 2010      План</t>
  </si>
  <si>
    <t xml:space="preserve"> 2010           Факт</t>
  </si>
  <si>
    <t xml:space="preserve"> 2011      План</t>
  </si>
  <si>
    <t xml:space="preserve"> 2011           Факт</t>
  </si>
  <si>
    <t>Доля объёмов воды, расчёты за которую осуществляются с использованием приборов учёта (в части МКД)- с использованием коллективных приборов учёта), в общем объеме воды, потребляемой на территории НАО (%)</t>
  </si>
  <si>
    <t>план     2011г</t>
  </si>
  <si>
    <t>план 2012г</t>
  </si>
  <si>
    <t xml:space="preserve"> Количество газифицированных индивидуальных жилых домов на территории сельских поселений, ед.</t>
  </si>
  <si>
    <t>факт     2012</t>
  </si>
  <si>
    <t xml:space="preserve"> Оценка эффективности реализации целевой программы в 2012году</t>
  </si>
  <si>
    <t>От 0 до 1 (0,88)</t>
  </si>
  <si>
    <t>От 0 до 1 (0,927)</t>
  </si>
  <si>
    <t xml:space="preserve"> Начальник Управления финансов </t>
  </si>
  <si>
    <t>Н.А. Семяшкина</t>
  </si>
  <si>
    <t xml:space="preserve">5.1. Выполнение запланированных мероприятий Программы в 2012 году    </t>
  </si>
  <si>
    <t xml:space="preserve"> Начальник Управления финансов                    Ненецкого автономного округа</t>
  </si>
  <si>
    <t xml:space="preserve">  План      2011</t>
  </si>
  <si>
    <t xml:space="preserve">    Факт      2011</t>
  </si>
  <si>
    <t xml:space="preserve">  План      2012</t>
  </si>
  <si>
    <t xml:space="preserve">    Факт      2012</t>
  </si>
  <si>
    <t xml:space="preserve"> "Развитие энергетического комплекса Ненецкого автономного округа, обеспечение энергосбережения и повышение энергоэффективности региональной экономики на 2010 - 2015 годы"</t>
  </si>
  <si>
    <t xml:space="preserve"> Оценка эффективности реализации целевой программы в 2009-2012 годах</t>
  </si>
  <si>
    <r>
      <t>Эффективность реализации мероприятий целевой программы 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78,8%. Программа достаточно эффективна. Из 43 целевых показателей выполнены 27  показателей. Не все мероприятия, запланированные  на 2012 год, выполнены.  Необходим более взвешенный подход к планированию объемов финрансирования программных мероприятий, постоянный мониторинг исполнения мероприятий и своевременное внесение изменений в Программу.</t>
    </r>
  </si>
  <si>
    <t>33,0       (на 32,0%)</t>
  </si>
  <si>
    <t>27,9         (на 21,3%)</t>
  </si>
  <si>
    <t>52, 0            (на 26,0%)</t>
  </si>
  <si>
    <t xml:space="preserve">Эффективность реализации целевой программы - 72,2%. Программа умеренно эффективна. Средства перечисленные в виде субсидии  муниципальному образованию осваиваются не в полном объеме. Освоение средств 2012 года составило 49,3%. Бюджетные средства,  выделяемые на реализацию программы используютсмя не эффективно. Аукционы на выполнение мероприятий объявляются в конце года, либо вообще не объявляются. В Программу включаются мероприятия изначально невозможные к исполнению по причине не решённых вопросов с земельными участками.Необходим более взвешенный подход к планированию программных мероприятий, объемов их финансирования и исполнению запланированных мероприятий. </t>
  </si>
  <si>
    <t>от 0 до 1 (0,69)</t>
  </si>
  <si>
    <r>
      <t xml:space="preserve">       </t>
    </r>
    <r>
      <rPr>
        <b/>
        <sz val="10"/>
        <rFont val="Arial"/>
        <family val="2"/>
      </rPr>
      <t>Эффективность реализации целевой программы  - 53,0%.</t>
    </r>
    <r>
      <rPr>
        <sz val="10"/>
        <rFont val="Arial"/>
        <family val="2"/>
      </rPr>
      <t xml:space="preserve"> Программа  относительно эффективна. Фактическое освоение бюджетных ассигнований в целом по программе составило 74,2%. Средства, перечисленные в виде субсидий МО "МР "Заполярный район", освоены в целом по программе на 29,1%, бюджетные инвестиции на реконструкцию ОАО "Мясопродукты" - на 13,4%.   Не все запланированные мероприятия выполнены в полном объёме.Программа требует доработки в части приведения в соответствие планируемых объёмов финансирования и фактической возможности МО для их освоения. Необходимы постоянный мониторинг реализации программных мероприятий, своевременная корректировка объёмов финансирования мероприятий в соответствии с проведенными конкурсными процедурами и заключенными государственными контрактами, уточнения значениий целевых показателей в зависимости от выполнения программных мероприятий по годам реализации программы.Учитывая значимость программы в устойчивом развитии агропромышленного комплекса округа в неблагоприятных природно-климатических условиях Крайнего Севера её реализация  может быть продолжена с учётом вышеуказанных замечаний. </t>
    </r>
  </si>
  <si>
    <t>"Формирование и регулирование рынка сельскохозяйственной продукции, сырья и продовольствия в Ненецком автономном округе на 2011-2017 годы"</t>
  </si>
  <si>
    <t xml:space="preserve"> Оценка эффективности реализации целевой программы за 2012 год </t>
  </si>
  <si>
    <t>Оценка эффективности реализации целевой программы за 2012 год</t>
  </si>
  <si>
    <t>Удельный вес отходов, направленных на использование и переработку, к общему количеству образующихся отходов, %</t>
  </si>
  <si>
    <t>Количество муниципальных  образований, в которых организован селективный сбор и сортировка отходов (шт.)</t>
  </si>
  <si>
    <t xml:space="preserve">Количество построенных (реконструированных) полигонов для размещения отходов (шт.) </t>
  </si>
  <si>
    <t xml:space="preserve">Количество населенных пунктов, в которых организованы пункты сбора и (или) переработки отходов (шт.)  </t>
  </si>
  <si>
    <t xml:space="preserve">Доля населения, охваченного организованной системой сбора и вывоза бытовых отходов (%) </t>
  </si>
  <si>
    <t>Значение показателей 2012 г.     План</t>
  </si>
  <si>
    <t>Значение показателей 2012 г.          Факт</t>
  </si>
  <si>
    <t>от 0 до 1 (0,2)</t>
  </si>
  <si>
    <t>От 0 до 1   (0,516)</t>
  </si>
  <si>
    <t>от 0 до 1   (0,625)</t>
  </si>
  <si>
    <t xml:space="preserve">Эффективность  реализации целевой программы - 60,7%. Программа умеренно эффективна. В 2012 году со стороны государственного заказчика-координатора отсутствовал контроль за ходом реализации Программы. Финансирование программных мероприятий осуществлялось в рамках ДЦП "Развитие городского округа "Город Нарьян-Мар" на 2009 - 2013 годы", "Социальное развитие села на территории Ненецкого автономного округа на 2009 - 2015 годы", "Поддержка муниципальных образований по развитию инженерной инфраструктуры в сфере обращения с отходами производства и потребления на территории МО "Муниципальный район "Заполярный район" на 2012 - 2015 годы". Изменения, вносимые в  указанные программы не отражались в основной Программе, что привело к искажению данных по объёмам финансирования Программы(планируемым и фактическим). Своевременно не откорректированы целевые показатели. Всё это повлияло на эффективность реализации Программы.  В 2013 году государственному заказчику-координатору необходимо усилить контроль за реализацией Программы, своевременно вносить все изменения. </t>
  </si>
  <si>
    <t xml:space="preserve">"Государственная поддержка муниципальных образований по развитию инженерной инфраструктуры в сфере обращения с отходами производства и потребления на 2012 - 2015 годы"
</t>
  </si>
  <si>
    <t>Эффективность реализации целевой программы - 76,5%. Программа достаточно эффективна,  требует доработки в части определения количественных значений целевых показателей по каждому году реализации программы и утверждения их в рамказ программы. Уровень фактического освоения средств выше, чем в 2011 году. Ввод  жилых домов  в эксплуатацию в 2012г. составил 67,0% от запланированных объемов.  Программа может быть продолжена при соотвествующей корректировке.</t>
  </si>
  <si>
    <t>Целевые показатели по каждому году реализации в программе не утверждены.</t>
  </si>
  <si>
    <t xml:space="preserve"> - улучшение условий при оказании первичной медико-санитарной помощи на селе для 3400 человек (в целом по окончанию программы 2009-2012г.г.)</t>
  </si>
  <si>
    <t xml:space="preserve"> - привлечение к регулярным занятиям физической культурой и спорта около 500 человек (в целом за время действия программы 2011-2012г.г.)</t>
  </si>
  <si>
    <t>факт 2009-2012 годы</t>
  </si>
  <si>
    <r>
      <t xml:space="preserve"> - улучшение условий при обучении в школьных и дошкольных учреждениях на селе для </t>
    </r>
    <r>
      <rPr>
        <b/>
        <sz val="8"/>
        <rFont val="Arial"/>
        <family val="2"/>
      </rPr>
      <t xml:space="preserve">1496 детей </t>
    </r>
    <r>
      <rPr>
        <sz val="8"/>
        <rFont val="Arial"/>
        <family val="2"/>
      </rPr>
      <t>(в целом по окончанию программы 2009-2012г.г.), кол-во человек</t>
    </r>
  </si>
  <si>
    <r>
      <t xml:space="preserve">значение целевых показателей, котрые планировалось досьтигнуть на 31.12.2012г. </t>
    </r>
    <r>
      <rPr>
        <b/>
        <sz val="8"/>
        <rFont val="Arial"/>
        <family val="2"/>
      </rPr>
      <t>План</t>
    </r>
  </si>
  <si>
    <t xml:space="preserve"> Оценка эффективности реализации целевой программы в 2009-2012годах </t>
  </si>
  <si>
    <t>от 0 до 1 (0,300)</t>
  </si>
  <si>
    <t>от 0 до 1 (0,685)</t>
  </si>
  <si>
    <t>От 0 до 1 (0,859)</t>
  </si>
  <si>
    <t>От 0 до 1 (0,914)</t>
  </si>
  <si>
    <t>от 0 до 1 (0,136)</t>
  </si>
  <si>
    <t>Начальник Управления финансов                                    Ненецкого автономного округа</t>
  </si>
  <si>
    <t>Учитывая социальную значимость, программа может быть продолжена при соответствующей корректировке.</t>
  </si>
  <si>
    <t>Оборот розничной торговли, тыс. руб. (в % к предыдущему году)</t>
  </si>
  <si>
    <t>Оборот общественного питания, тыс. руб. (в % к предыдущему году)</t>
  </si>
  <si>
    <t>Оборот бытовых услуг, тыс. руб. (в % к предыдущему году)</t>
  </si>
  <si>
    <t xml:space="preserve"> "Государственная поддержка жителей сельской местности при строительстве или газификации индивидуальных домов на 2009 - 2013 годы"                                                                                                                        долгосрочной целевой программы Ненецкого автономного округа  "Жилище"на 2011-2022 годы</t>
  </si>
  <si>
    <t>Строительство (достройка) водовода по ул. Ненецкая</t>
  </si>
  <si>
    <r>
      <t xml:space="preserve">Протяжённость сетей водоснабжения (км) - </t>
    </r>
    <r>
      <rPr>
        <b/>
        <sz val="8"/>
        <rFont val="Arial"/>
        <family val="2"/>
      </rPr>
      <t>40,13</t>
    </r>
  </si>
  <si>
    <r>
      <t xml:space="preserve">Увеличение площади тротуаров (тыс. кв. м.) - </t>
    </r>
    <r>
      <rPr>
        <b/>
        <sz val="8"/>
        <rFont val="Arial"/>
        <family val="2"/>
      </rPr>
      <t>36,3</t>
    </r>
  </si>
  <si>
    <t xml:space="preserve">Устройство тротуаров </t>
  </si>
  <si>
    <t>Обустройство дворовых территорий</t>
  </si>
  <si>
    <r>
      <t xml:space="preserve">количество отремонтированных дворовых территорий (шт) </t>
    </r>
    <r>
      <rPr>
        <b/>
        <sz val="8"/>
        <rFont val="Arial"/>
        <family val="2"/>
      </rPr>
      <t>- 0</t>
    </r>
  </si>
  <si>
    <r>
      <t xml:space="preserve">Доля отремонтированных дворовых территорий многоквартирных домов в общем количестве предусмотренных к кап. ремонту и ремонту дворовых территорий  (%) - </t>
    </r>
    <r>
      <rPr>
        <b/>
        <sz val="8"/>
        <rFont val="Arial"/>
        <family val="2"/>
      </rPr>
      <t>0</t>
    </r>
  </si>
  <si>
    <t>от 0 до 1  (0,382)</t>
  </si>
  <si>
    <t>От 0 до 1  (0,803)</t>
  </si>
  <si>
    <t>Увеличение протяженности автомобильных дорог местного значения (на количество км)</t>
  </si>
  <si>
    <t xml:space="preserve"> 2011 г.          Факт</t>
  </si>
  <si>
    <t>от 0 до 1 (1,0)</t>
  </si>
  <si>
    <t xml:space="preserve">16. Количество общественного транспорта, регулирование тарифов на услуги по перевозке на котором осуществляется НАО, в отношении которых проведены мероприятия по энергосбережению и повышению энергетической эффективности, в том  числе по замещению бензина, используемого транспортными средствами в качестве моторного топлива, природным газом (шт.),  </t>
  </si>
  <si>
    <t>18. Снижениеобъёма завоза топлива в населённые пункты НАО на обеспечение выработки электроэнергии (в натуральном выражении) (т.)</t>
  </si>
  <si>
    <t>19. Снижениеобъёма завоза топлива в населённые пункты НАО на обеспечение выработки электроэнергии (в стоимостном выражении) (тыс.руб.)</t>
  </si>
  <si>
    <t>17.Увеличение протяженности магистральных линий электропередач (км.)</t>
  </si>
  <si>
    <t xml:space="preserve">Соответствует   </t>
  </si>
  <si>
    <t>Не соответствует</t>
  </si>
  <si>
    <t xml:space="preserve">от 0 до 1 </t>
  </si>
  <si>
    <t xml:space="preserve">5. Выполнение запланированных мероприятий Программы                      </t>
  </si>
  <si>
    <t xml:space="preserve">5.1. Выполнение запланированных мероприятий Программы в отчетном году    </t>
  </si>
  <si>
    <t>2012год   факт</t>
  </si>
  <si>
    <t>от 0 до 1 (0,667)</t>
  </si>
  <si>
    <t>Предоставление субсидий муниципальным образованиям округа на проведение капитального ремонта домов</t>
  </si>
  <si>
    <t>общая площадь жилых домов, в которых проведен капитальный ремонт, тыс. кв. м</t>
  </si>
  <si>
    <t>кол-во жилых домов, в которых проведен капитальный ремонт, ед.</t>
  </si>
  <si>
    <t>0</t>
  </si>
  <si>
    <t>2012   план</t>
  </si>
  <si>
    <r>
      <t xml:space="preserve">2012   </t>
    </r>
    <r>
      <rPr>
        <b/>
        <sz val="9"/>
        <rFont val="Arial"/>
        <family val="2"/>
      </rPr>
      <t>факт</t>
    </r>
  </si>
  <si>
    <r>
      <t xml:space="preserve">по окончании действия Программы  </t>
    </r>
    <r>
      <rPr>
        <b/>
        <sz val="9"/>
        <rFont val="Arial"/>
        <family val="2"/>
      </rPr>
      <t>План</t>
    </r>
  </si>
  <si>
    <r>
      <t xml:space="preserve">по окончании действия Программы  </t>
    </r>
    <r>
      <rPr>
        <b/>
        <sz val="9"/>
        <rFont val="Arial"/>
        <family val="2"/>
      </rPr>
      <t>Факт</t>
    </r>
  </si>
  <si>
    <t>реконструкция действующих тротуаров, тыс. кв. м.</t>
  </si>
  <si>
    <t>Устройство уличного освещения в п. Сахалин</t>
  </si>
  <si>
    <t>протяжённость линий наружного освещения улично-дорожной сети (км)</t>
  </si>
  <si>
    <t>490          (+10)</t>
  </si>
  <si>
    <t>520       (+30)</t>
  </si>
  <si>
    <t>520            (+47)</t>
  </si>
  <si>
    <r>
      <t>Эффективность реализации целевой программы -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75,8 %. Программа умеренно эффективна. За четыре года реализации с 2009г. по 2012 г финансирование программных мероприятий составило               2 072 379,0  тыс .рублей или 91,4  процента от запланированных объемов. Целевые показатели  программы за этот же период выполнены на 66,7%, что свидетельствует о недостаточно эффективном  мониторинге реализации программных мероприятий и объемов их финансирования, а также не соответствии запланированных мероприятий и  целевых показателей. </t>
    </r>
    <r>
      <rPr>
        <b/>
        <u val="single"/>
        <sz val="10"/>
        <rFont val="Arial"/>
        <family val="2"/>
      </rPr>
      <t xml:space="preserve">Целевые показатели по каждому году реализации программы не определены и их исполнение  не конролируется. </t>
    </r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Программа требует доработки в части определения количественных значений целевых показателей по каждому году реализации программы,</t>
    </r>
    <r>
      <rPr>
        <b/>
        <sz val="10"/>
        <rFont val="Arial"/>
        <family val="2"/>
      </rPr>
      <t xml:space="preserve">  Программа требует доработки  в части реального планирования сроков реализации  мероприятий и сроков ввода в эксплуатацию объектов. </t>
    </r>
  </si>
  <si>
    <t xml:space="preserve"> Количество семей, улучшивших жилищные условия путем строительства индивидуальных жилых домов, семей </t>
  </si>
  <si>
    <t>В 2012 году корректировка  показателей по газификации индивидуальных жилых домов не произведена.</t>
  </si>
  <si>
    <t xml:space="preserve">2012   план </t>
  </si>
  <si>
    <t xml:space="preserve">целевые показатели не утверждены программой </t>
  </si>
  <si>
    <t>2011-2012 факт</t>
  </si>
  <si>
    <t>501/1548</t>
  </si>
  <si>
    <t>28,8</t>
  </si>
  <si>
    <t>18,4</t>
  </si>
  <si>
    <t>215,8</t>
  </si>
  <si>
    <t>от 0 до 1 (0,6)</t>
  </si>
  <si>
    <t>2011 г.         План</t>
  </si>
  <si>
    <t xml:space="preserve"> 2011 г.         Факт</t>
  </si>
  <si>
    <t>2012 г.         План</t>
  </si>
  <si>
    <t xml:space="preserve"> 2012 г.         Факт</t>
  </si>
  <si>
    <r>
      <t xml:space="preserve">1867 </t>
    </r>
    <r>
      <rPr>
        <sz val="7"/>
        <rFont val="Arial"/>
        <family val="2"/>
      </rPr>
      <t>(на 77 семей)</t>
    </r>
  </si>
  <si>
    <r>
      <t xml:space="preserve">5302                  </t>
    </r>
    <r>
      <rPr>
        <sz val="7"/>
        <rFont val="Arial"/>
        <family val="2"/>
      </rPr>
      <t xml:space="preserve"> (-191)</t>
    </r>
  </si>
  <si>
    <t>21                (на 12)</t>
  </si>
  <si>
    <t>23            (на 14)</t>
  </si>
  <si>
    <t>54               (на 33)</t>
  </si>
  <si>
    <t>30         (на 7)</t>
  </si>
  <si>
    <t>105                (на 30)</t>
  </si>
  <si>
    <t>107       (на 32)</t>
  </si>
  <si>
    <t>135                   (на 30)</t>
  </si>
  <si>
    <t>136         (на 29)</t>
  </si>
  <si>
    <t>2,3                (на 1,3)</t>
  </si>
  <si>
    <t>2,3           (на 1,3)</t>
  </si>
  <si>
    <t>5,3                     (на 3)</t>
  </si>
  <si>
    <t>3,28                        (на 0,98)</t>
  </si>
  <si>
    <t>37                  (на 12)</t>
  </si>
  <si>
    <t>27                (на 2)</t>
  </si>
  <si>
    <t>28               (на 1)</t>
  </si>
  <si>
    <t>49                   (на 12)</t>
  </si>
  <si>
    <t>от 0 до 1 (0,405)</t>
  </si>
  <si>
    <t>от 0 до 1 (0,67)</t>
  </si>
  <si>
    <t>от 0 до 1 (0,74)</t>
  </si>
  <si>
    <r>
      <t xml:space="preserve">1920 </t>
    </r>
    <r>
      <rPr>
        <sz val="7"/>
        <color indexed="62"/>
        <rFont val="Arial"/>
        <family val="2"/>
      </rPr>
      <t>( на 57 семей)</t>
    </r>
  </si>
  <si>
    <r>
      <t xml:space="preserve">5474            </t>
    </r>
    <r>
      <rPr>
        <sz val="7"/>
        <color indexed="62"/>
        <rFont val="Arial"/>
        <family val="2"/>
      </rPr>
      <t>(-105)</t>
    </r>
  </si>
  <si>
    <r>
      <t xml:space="preserve">1844 </t>
    </r>
    <r>
      <rPr>
        <sz val="7"/>
        <color indexed="62"/>
        <rFont val="Arial"/>
        <family val="2"/>
      </rPr>
      <t>(на 76 семей)</t>
    </r>
  </si>
  <si>
    <r>
      <t xml:space="preserve">5237             </t>
    </r>
    <r>
      <rPr>
        <sz val="7"/>
        <color indexed="62"/>
        <rFont val="Arial"/>
        <family val="2"/>
      </rPr>
      <t xml:space="preserve"> (-237)</t>
    </r>
  </si>
  <si>
    <t>на      135/110  семей</t>
  </si>
  <si>
    <t>на   342/277</t>
  </si>
  <si>
    <t>Всего  за   2011-2012    пл/факт</t>
  </si>
  <si>
    <t>на 97</t>
  </si>
  <si>
    <t>на 45</t>
  </si>
  <si>
    <r>
      <t xml:space="preserve">Эффективность реализации целевой программы - 65,2%. Программа относительно эффективна. Требует доработки в части определения количественных значений целевых показателей по каждому году  реализации программы, в соответствии с монииторингом выполнения  целевых показателей, </t>
    </r>
    <r>
      <rPr>
        <b/>
        <u val="single"/>
        <sz val="10"/>
        <rFont val="Arial"/>
        <family val="2"/>
      </rPr>
      <t>корректировки объемов бюджетных ассигнований и  фактической потребностью населения, а также  программой газификации сельских поселений округа.</t>
    </r>
    <r>
      <rPr>
        <b/>
        <sz val="10"/>
        <rFont val="Arial"/>
        <family val="2"/>
      </rPr>
      <t xml:space="preserve">  Средства  выделенные в 2012 году  на газификацию индивидуальных жилых домов освоены на 11,7 Процента. Программа может быть продолжена при соответствующей корректировке.</t>
    </r>
  </si>
  <si>
    <t>от 0 до 1 (0,657)</t>
  </si>
  <si>
    <t xml:space="preserve">от 0 до 1     (0,62) </t>
  </si>
  <si>
    <t>от 0 до 1            (0,438 )</t>
  </si>
  <si>
    <r>
      <t>От 0 до 1    (</t>
    </r>
    <r>
      <rPr>
        <sz val="9"/>
        <rFont val="Arial"/>
        <family val="2"/>
      </rPr>
      <t xml:space="preserve">0,895) </t>
    </r>
  </si>
  <si>
    <r>
      <t>От 0 до 1    (</t>
    </r>
    <r>
      <rPr>
        <sz val="9"/>
        <rFont val="Arial"/>
        <family val="2"/>
      </rPr>
      <t xml:space="preserve">0,961) </t>
    </r>
  </si>
  <si>
    <r>
      <t>От 0 до 1    (</t>
    </r>
    <r>
      <rPr>
        <sz val="9"/>
        <rFont val="Arial"/>
        <family val="2"/>
      </rPr>
      <t xml:space="preserve">0,473) </t>
    </r>
  </si>
  <si>
    <t>Доля объемов природного газа, потребляемого (используемого) в жилых домах (за исключением многоквартирных домах),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домах) на территории субъекта Российской Федерации, %</t>
  </si>
  <si>
    <t>Число жилых домов, в отношении которых проведено энергетическое обследование (далее - ЭО), шт</t>
  </si>
  <si>
    <t>Доля жилых домов, в отношении которых проведено ЭО, в общем числе жилых домов,%</t>
  </si>
  <si>
    <t xml:space="preserve">Доля многоквартирных домов на территории Ненецкого автономного округа оборудованных в соответствии с Федеральным законом от 23.11.2009 № 261-ФЗ "Об энергосбережении и повышении энергоэффективности и о внесении изменений в отдельные законодательные акты Российской Федерации" общедомовыми приборами учета потребляемой тепловой энергии,% </t>
  </si>
  <si>
    <r>
      <t>3.</t>
    </r>
    <r>
      <rPr>
        <sz val="9"/>
        <rFont val="Arial"/>
        <family val="2"/>
      </rPr>
      <t xml:space="preserve"> Наличие в отчете о выполнении целевых программ годовых количественных измерений целевых показателей  (индикаторов), отражающих цели Программы и достижение результатов её реализации</t>
    </r>
  </si>
  <si>
    <r>
      <t xml:space="preserve">4. </t>
    </r>
    <r>
      <rPr>
        <sz val="9"/>
        <rFont val="Arial"/>
        <family val="2"/>
      </rPr>
      <t>Соответствие достигнутых в отчётном году целевых показателей (индикаторов) целевым показателям (индикаторам), утверждённым в целевой программе</t>
    </r>
  </si>
  <si>
    <t>Доля объемов электроэнергии, потребляемой в МКД, расчеты за которую осуществляются с использованием коллективных (общедомовых) приборов учета, в общем объеме электроэнергии, потребляемой в МКД на территории НАО,%</t>
  </si>
  <si>
    <t>Доля объемов электроэнергии, потребляемой в жилых домах (за исключением МКД), расчеты за которую осуществляются с использованием приборов учета, в общем объеме электроэнергии, потребляемой в жилых домах (за исключением МКД) на территории НАО,%</t>
  </si>
  <si>
    <t xml:space="preserve"> "Обеспечение земельных участков коммунальной и транспортной инфраструктурами в целях жилищного строительства "                                                                                                                       долгосрочной целевой программы Ненецкого автономного округа  "Жилище" на 2011 - 2022 годы</t>
  </si>
  <si>
    <t xml:space="preserve">1 этап  2011-2015 годы </t>
  </si>
  <si>
    <t>752/2022</t>
  </si>
  <si>
    <t>346/1047</t>
  </si>
  <si>
    <r>
      <t xml:space="preserve">Количкство семей /граждан, улучшивших жилищные условия, </t>
    </r>
    <r>
      <rPr>
        <sz val="8"/>
        <rFont val="Arial"/>
        <family val="2"/>
      </rPr>
      <t>семей/граждан</t>
    </r>
  </si>
  <si>
    <r>
      <t xml:space="preserve">Общая площадь построенных (приобретенных) жилых помещений, </t>
    </r>
    <r>
      <rPr>
        <sz val="8"/>
        <rFont val="Arial"/>
        <family val="2"/>
      </rPr>
      <t>тыс.кв.м.</t>
    </r>
  </si>
  <si>
    <r>
      <t xml:space="preserve">Общая площадь жилищного фонда, непригодного для проживания, снесенного в рамках подпрограммы,  </t>
    </r>
    <r>
      <rPr>
        <sz val="8"/>
        <rFont val="Arial"/>
        <family val="2"/>
      </rPr>
      <t>тыс.кв.м.</t>
    </r>
  </si>
  <si>
    <t xml:space="preserve">Обепечение проведения технической инвентаризации многоквартирных домов общей площадью жилых помещений, тыс.кв.м.  </t>
  </si>
  <si>
    <t>Доля объемов природного газа, потребляемого (используемого)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субъекта Российской Федерации</t>
  </si>
  <si>
    <t>Динамика энергоемкости валового регионального продукта (кг.у.т/тыс.руб.)</t>
  </si>
  <si>
    <t>Значение показателей на начало действия Программы, 2010год.</t>
  </si>
  <si>
    <t>Значение показателей по окончанию каждого года реализации Программы</t>
  </si>
  <si>
    <t>Значение показателя по окончанию действия Программы</t>
  </si>
  <si>
    <t>Количество общественного транспорта, регулирование тарифов на услуги по перевозке на котором осуществляется НАО,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газом,шт</t>
  </si>
  <si>
    <t>от 0 до 1 (0)</t>
  </si>
  <si>
    <t>6. Доля фактического объема финансирования Программы от запланированного объема финансирования</t>
  </si>
  <si>
    <t>Озелененение городской территории</t>
  </si>
  <si>
    <t>Ввод в эксплуатацию светофорного объекта</t>
  </si>
  <si>
    <t>Ликвидация несанкционированных свалок</t>
  </si>
  <si>
    <r>
      <t xml:space="preserve">Площадь несанкционированных свалок на территории МО "Городской округ "Город Нарьян-Мар" (тыс. кв. м.) - </t>
    </r>
    <r>
      <rPr>
        <b/>
        <sz val="8"/>
        <rFont val="Arial"/>
        <family val="2"/>
      </rPr>
      <t>250</t>
    </r>
  </si>
  <si>
    <r>
      <t xml:space="preserve">Площадь жил.фонда с полным благоустройством, тыс. кв.м. - </t>
    </r>
    <r>
      <rPr>
        <b/>
        <sz val="8"/>
        <rFont val="Arial"/>
        <family val="2"/>
      </rPr>
      <t>270,0</t>
    </r>
  </si>
  <si>
    <r>
      <t xml:space="preserve">Площадь дорожного покрытия, соответствующего нормативным значениям (тыс. кв. м.) - </t>
    </r>
    <r>
      <rPr>
        <b/>
        <sz val="8"/>
        <rFont val="Arial"/>
        <family val="2"/>
      </rPr>
      <t>63,4</t>
    </r>
  </si>
  <si>
    <r>
      <t xml:space="preserve">Доля дорожного покрытия, соответствующего нормативным значениям в общей площади дорожного покрытия МО (%) - </t>
    </r>
    <r>
      <rPr>
        <b/>
        <sz val="8"/>
        <rFont val="Arial"/>
        <family val="2"/>
      </rPr>
      <t>27,9</t>
    </r>
  </si>
  <si>
    <r>
      <t xml:space="preserve">Мощность котельных, Гкал/час - </t>
    </r>
    <r>
      <rPr>
        <b/>
        <sz val="8"/>
        <rFont val="Arial"/>
        <family val="2"/>
      </rPr>
      <t>21,34</t>
    </r>
  </si>
  <si>
    <r>
      <t xml:space="preserve">Кол-во вновь вводимых мест - </t>
    </r>
    <r>
      <rPr>
        <b/>
        <sz val="8"/>
        <rFont val="Arial"/>
        <family val="2"/>
      </rPr>
      <t>548</t>
    </r>
  </si>
  <si>
    <t>факт 2011г.</t>
  </si>
  <si>
    <t>Количество семей, получивших государственную поддержку на строительство индивидуальных жилых домо, семей</t>
  </si>
  <si>
    <t>Общая площадь построенных индивидуальных жилых домов на территории сельских поселений округа, тыс.кв.м.</t>
  </si>
  <si>
    <t>Вес критерия</t>
  </si>
  <si>
    <t>Критерии</t>
  </si>
  <si>
    <t>Варианты оценки</t>
  </si>
  <si>
    <t>Значения</t>
  </si>
  <si>
    <t>от 0 до 1  (0,5)</t>
  </si>
  <si>
    <t xml:space="preserve"> Оценка эффективности реализации подпрограмы  </t>
  </si>
  <si>
    <r>
      <t xml:space="preserve">1977 </t>
    </r>
    <r>
      <rPr>
        <sz val="7"/>
        <rFont val="Arial"/>
        <family val="2"/>
      </rPr>
      <t>(сокращение очереди на 1387 семей)</t>
    </r>
  </si>
  <si>
    <t>Рост валового производства</t>
  </si>
  <si>
    <t>рыболовство</t>
  </si>
  <si>
    <t>овощеводство</t>
  </si>
  <si>
    <t>переработка мяса</t>
  </si>
  <si>
    <t>2011 факт</t>
  </si>
  <si>
    <t>Производство молока, тн</t>
  </si>
  <si>
    <t>Производство овощей закрытого грунта, тн</t>
  </si>
  <si>
    <t>Промышленный лов рыбы (без судового промысла), тн</t>
  </si>
  <si>
    <t>Реализация мяса оленины, тн</t>
  </si>
  <si>
    <t>Поголовье оленей, голов</t>
  </si>
  <si>
    <t>Поголовье коров, голов</t>
  </si>
  <si>
    <r>
      <t>1</t>
    </r>
    <r>
      <rPr>
        <sz val="8"/>
        <rFont val="Arial"/>
        <family val="2"/>
      </rPr>
      <t>. Актуальность на настоящий момент Программы в целом и её мероприятий в соответствии с социально-экономическими приоритетами Российской Федерации, Ненецкого автономного округа</t>
    </r>
  </si>
  <si>
    <r>
      <t>2</t>
    </r>
    <r>
      <rPr>
        <sz val="8"/>
        <rFont val="Arial"/>
        <family val="2"/>
      </rPr>
      <t>. Соответствие целей и задач мероприятий целевой программы полномочиям Ненецкого автономного округа как субъекта Российской Федерации</t>
    </r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</si>
  <si>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региональной программы, %</t>
  </si>
  <si>
    <t>Экономия электрической энергии в натуральном выражении, тыс.кВт/час</t>
  </si>
  <si>
    <t>Экономия электрической энергии в стоимостном  выражении, тыс.руб</t>
  </si>
  <si>
    <t>Экономия тепловой энергии в натуральном выражении, тыс.Гкал</t>
  </si>
  <si>
    <t>Экономия тепловой энергии в стоимостном  выражении, тыс.руб</t>
  </si>
  <si>
    <t>Экономия воды в натуральном выражении, тыс.куб.м</t>
  </si>
  <si>
    <t>Экономия воды в стоимостном  выражении, тыс.руб</t>
  </si>
  <si>
    <t>Экономия природного газа в натуральном выражении, тыс.куб.м</t>
  </si>
  <si>
    <t>Экономия природного газа в стоимостном  выражении, тыс.руб</t>
  </si>
  <si>
    <t>Доля объёмов ЭЭ, потребляемой бюджетными учреждениями, расчёты за которую осуществляются с использованием приборов учёта, в общем объёме электроэнергии, потребляемой бюджетными учреждениями на территории НАО (%)</t>
  </si>
  <si>
    <t>Занятость всего                                                         в т.ч.</t>
  </si>
  <si>
    <t>От 0 до 1   (0,718)</t>
  </si>
  <si>
    <r>
      <t xml:space="preserve">2010    </t>
    </r>
    <r>
      <rPr>
        <b/>
        <sz val="9"/>
        <rFont val="Arial"/>
        <family val="2"/>
      </rPr>
      <t>факт</t>
    </r>
  </si>
  <si>
    <r>
      <t xml:space="preserve">2011   </t>
    </r>
    <r>
      <rPr>
        <b/>
        <sz val="9"/>
        <rFont val="Arial"/>
        <family val="2"/>
      </rPr>
      <t>факт</t>
    </r>
  </si>
  <si>
    <t>от 0 до 1 (0,829)</t>
  </si>
  <si>
    <t>"Меры социальной поддержки населения при кредитовании или заимствовании на приобретение (строительство )жилья"                                                                                                                           долгосрочной целевой программы Ненецкого автономного округа  "Жилище" на 2011 - 2022 годы</t>
  </si>
  <si>
    <t>Увеличение среднесписочного количества рабочих мест для населения, проживающего в сельской местности, в отраслях потребительского рынка (количество человек по сравнению с предыдущим годом)</t>
  </si>
  <si>
    <t>431                  ( - 42)</t>
  </si>
  <si>
    <t>450               (+19)</t>
  </si>
  <si>
    <t xml:space="preserve">     Эффективность реализации целевой программы  - 90,8%. Программа  эффективна. Реализация программных мероприятйи может быть продолжена. В результате реализации программы в 2012 году рост производства хлеба и хлебобулочных изделий на 1 сельского жителя составил 5,3% или 59,9 кг продукции, цена на 1 килограмм хлеба основных сортов осталась на уровне 2011 года - 32,0 рубля за килограмм, на 19 единиц по сравнению с 2011 годом увеличилось количество рабочих мест.                                                   </t>
  </si>
  <si>
    <t xml:space="preserve">     Вместе с тем, государственный заказчик уделил недостаточное внимание работе с  целевыми показателями программы. Так для расчёта показателя "Рост оборота розничной торговли на 1 сельского жителя (за исключением пива, алкогольной и табачной продукции)" была использована информация исполнителя программных мероприятий - МО "Муниципальный район "Заполярный район" об обороте розничной торговли с учётом оборота подакцизных товаров, что привело к завышению показателя. Фактическое значение показателя на начало действия программы (без учёта пива, алкогольной и табачной продукции) 31,2 тыс. рублей, значение показателя по итогам 2012 года 35,0 тыс. рублей или рост на 12,2%.</t>
  </si>
  <si>
    <t>"Поддержка сельского потребительского рынка на территории Ненецкого автономного округа на 2011-2015 годы"</t>
  </si>
  <si>
    <t xml:space="preserve">     Государственному заказчику программы целесообразно откорректировать значения показателей на начало действия программы:                                                                                                                                                                                       в части уточнения объёма розничной торговли на 1 сельского жителя (за исключением пива, алкогольной и табачной продукции) за 2011 год и его объёмов по годам реализации программы;                                                                                                                                                             привести показатель "Рост средней торговой надбавки не выше уровня инфляции" в соответствие с нормативными документами .                                                                                                                                  </t>
  </si>
  <si>
    <t>От 0 до 1  (0,5)</t>
  </si>
  <si>
    <t xml:space="preserve">От 0 до 1  </t>
  </si>
  <si>
    <t>От 0 до 1  (0,973)</t>
  </si>
  <si>
    <t>от 0 до 1   (0,757)</t>
  </si>
  <si>
    <t xml:space="preserve">Начальник Управления финансов </t>
  </si>
  <si>
    <t>план 2012</t>
  </si>
  <si>
    <t>2012 факт</t>
  </si>
  <si>
    <t>от 0 до 1 (0,286)</t>
  </si>
  <si>
    <t xml:space="preserve">от 0 до 1 (0,625) </t>
  </si>
  <si>
    <t xml:space="preserve">от 0 до 1 (0,607) </t>
  </si>
  <si>
    <t>От 0 до 1  (0,927)</t>
  </si>
  <si>
    <t>От 0 до 1  (0,929)</t>
  </si>
  <si>
    <t>от 0 до 1 (0,301)</t>
  </si>
  <si>
    <t>От 0 до 1  (0,838)</t>
  </si>
  <si>
    <t xml:space="preserve"> Оценка эффективности реализации целевой программы за 2012 год</t>
  </si>
  <si>
    <t>от 0 до 1 (0,642)</t>
  </si>
  <si>
    <t>Эффективность реализации целевой программы - 51,5 %. Программа  на грани эффективности.  Средства, выделенные на реализацию прораммных мероприятий в 2012 году, освоены на 28,0 %. Осуществлялась реализация меропряитий контракты по которым были заключены в 2011 году за счет остатков средств, перечисленных в 2011 году. Требуется доработка программы  как в части определения самих целевых показателей, так  и утверждения их плановых значений по каждому году реализации программы. Требуется постоянный монииторинг выполнения мероприятий программы,  корректировки объемов бюджетных ассигнований в соответствии с их  фактическим освоением в течении отчетного года, повышение эффективности планирования государственным заказчиком объема бюджетных инвестиций по годам реализации программы.  Программа может быть продолжена только при соответствующей корректировке.</t>
  </si>
  <si>
    <t>7. Привлечение государственными заказчиками целевых программ дополнительных средств из иных источников в случае сокращения объемов финансирования из окружного бюджета</t>
  </si>
  <si>
    <t>От 0 до 1 (0,87)</t>
  </si>
  <si>
    <t>7. Привлечение государственными заказчиками целевых программ дополнительных средств из иных источников в случае сокращения объёмов финансирования из окружного бюджета</t>
  </si>
  <si>
    <t>средства привлечены</t>
  </si>
  <si>
    <t>средства не привлечены</t>
  </si>
  <si>
    <t>показатель исключён</t>
  </si>
  <si>
    <t>39,1                       (показатель 2011 года)</t>
  </si>
  <si>
    <t>46,6 (19,2%)</t>
  </si>
  <si>
    <t>Рост оборота розничной торговли на 1 сельского жителя (за исключением пива, алкогольной и табачной продукции), тыс. руб. (в % к предыдущему году)</t>
  </si>
  <si>
    <t>Рост производства хлеба и хлебобулочных изделий на 1 сельского жителя, кг (в % к предыдущему году)</t>
  </si>
  <si>
    <t>56,9                       (показатель 2011 года)</t>
  </si>
  <si>
    <t>59,3 (4,2%)</t>
  </si>
  <si>
    <t>41,4 (6,0%)</t>
  </si>
  <si>
    <t>Рост цены на 1 килограмм хлеба основных сортов не выше уровня инфляции, руб. (в % к предыдущему году)</t>
  </si>
  <si>
    <t>32,0                       (показатель 2011 года)</t>
  </si>
  <si>
    <t>32,0 (0%)</t>
  </si>
  <si>
    <t>38,0 (4,9%)</t>
  </si>
  <si>
    <t>Рост средней торговой надбавки не выше уровня инфляции, (в % к предыдущему году)</t>
  </si>
  <si>
    <t>84,9                       (показатель 2011 года)</t>
  </si>
  <si>
    <t>59,9 (5,3%)</t>
  </si>
  <si>
    <r>
      <t xml:space="preserve">1944 </t>
    </r>
    <r>
      <rPr>
        <sz val="7"/>
        <rFont val="Arial"/>
        <family val="2"/>
      </rPr>
      <t>(на 33 семьи)</t>
    </r>
  </si>
  <si>
    <t>- в том числе человек</t>
  </si>
  <si>
    <r>
      <t xml:space="preserve">5579              </t>
    </r>
    <r>
      <rPr>
        <sz val="7"/>
        <rFont val="Arial"/>
        <family val="2"/>
      </rPr>
      <t>(-3953)</t>
    </r>
  </si>
  <si>
    <r>
      <t xml:space="preserve">5493              </t>
    </r>
    <r>
      <rPr>
        <sz val="7"/>
        <rFont val="Arial"/>
        <family val="2"/>
      </rPr>
      <t>(-86)</t>
    </r>
  </si>
  <si>
    <t>Снижение количества семей и одиноко проживающих граждан, нуждающихся в улучшении жилищных условий, состоящих на учете в органах местного самоуправления по состоянию на 01.01.2010г. для предоставления жилья по договорам социального найма, семей</t>
  </si>
  <si>
    <t>от 0 до 1 (0,7)</t>
  </si>
  <si>
    <t>от 0 до 1 (0,925)</t>
  </si>
  <si>
    <r>
      <t>от 0 до 1(</t>
    </r>
    <r>
      <rPr>
        <b/>
        <sz val="10"/>
        <rFont val="Arial"/>
        <family val="2"/>
      </rPr>
      <t>0,667</t>
    </r>
    <r>
      <rPr>
        <sz val="10"/>
        <rFont val="Arial"/>
        <family val="2"/>
      </rPr>
      <t xml:space="preserve">) </t>
    </r>
  </si>
  <si>
    <r>
      <t xml:space="preserve">Эффективность  реализации целевой программы - 75,1%. Средства перечисленные в виде субсидий  муниципальным образованиям осваиваются не в полном объеме. За три года реализации програмы освоение бюджетных ассигнований составило 36 %, в 2012 году - 4,7%.  </t>
    </r>
    <r>
      <rPr>
        <b/>
        <u val="single"/>
        <sz val="10"/>
        <rFont val="Arial"/>
        <family val="2"/>
      </rPr>
      <t>Бюджетные средства,  выделяемые на реализацию программы, используются не эффективно</t>
    </r>
    <r>
      <rPr>
        <b/>
        <sz val="10"/>
        <rFont val="Arial"/>
        <family val="2"/>
      </rPr>
      <t>. Достижение  целевых показателей программы не зависит от выполнения  программных мероприятий. Необходим более взвешенный подход к планированию программных мероприятий  и объемов их финансирования, а также к определению целевых показателей, отражающих фактическое достижение целей и задач программы.  Программа имеет социальное значение и может быть продолжена, но требует доработки в части приведения в соответствие планируемых объемов финансирования и фактической возможности муниципальных образований для их освоения, также уточнения фактических значений целевых показателей по годам реализации и показателей которые будут достигнуты к 2014 году.</t>
    </r>
  </si>
  <si>
    <t>Отношение фактического объёма финансирования к объёму финансирования, запланированному Программой</t>
  </si>
  <si>
    <t>6.1.2. Уровень фактического финансового обеспечения целевой Программы в отчётном финансовом году</t>
  </si>
  <si>
    <t>6.2. Доля фактического объема финансирования Программы в отчетном финансовом году с разбивкой по источникам финансирования</t>
  </si>
  <si>
    <t>6.2.1. Доля фактического объема финансирования Программы из окружного бюджета от запланированного финансирования из окружного бюджета</t>
  </si>
  <si>
    <t>6.2.2. Доля фактического объема финансирования Программы из федерального бюджета от запланированного финансирования из федерального бюджета</t>
  </si>
  <si>
    <t>6.2.3. Доля фактического объема финансирования Программы из местного бюджета от запланированного финансирования из местного бюджета</t>
  </si>
  <si>
    <t>6.2.4 Доля фактического объема финансирования Программы из других внебюджетных источников от запланированного финансирования из других внебюджетных источников</t>
  </si>
  <si>
    <t>7. Доля капитальных вложений и НИОКР в общем объеме затрат на реализацию Программы</t>
  </si>
  <si>
    <t>Доля капитальных вложений и НИОКР в общем объёме затрат на реализацию Программы</t>
  </si>
  <si>
    <t>Критерии оценки эффективности реализации целевых программ для их финансирования за счёт средств окружного бюджета</t>
  </si>
  <si>
    <t>Наименование целевых показателей Программы</t>
  </si>
  <si>
    <t>Значение показателей на начало действия Программы</t>
  </si>
  <si>
    <t>(по Программе не установлено)</t>
  </si>
  <si>
    <t xml:space="preserve"> - повышение качества потребляемой на селе электроэнергии и сокращение потери энергоресурсов на 15%</t>
  </si>
  <si>
    <t xml:space="preserve"> - осуществление ремонта и реконструкции тепловых сетей в пяти сельских населенных пунктах и снижение потери в теплосетях на 15 %</t>
  </si>
  <si>
    <t xml:space="preserve"> - строительство и улучшение автомобильных дорог местного значения в сельских населенных пунктах</t>
  </si>
  <si>
    <t xml:space="preserve"> - разработка концепции развития энергетического комплекса Ненецкого автономного округа и повышение энергоэффективности региональной экономики</t>
  </si>
  <si>
    <t xml:space="preserve"> - улучшение жилищных условий граждан за счёт предоставления жилых помещений по договорам социального найма</t>
  </si>
  <si>
    <t>2010    план</t>
  </si>
  <si>
    <t>2011    план</t>
  </si>
  <si>
    <t xml:space="preserve">Значение показателей    </t>
  </si>
  <si>
    <r>
      <t xml:space="preserve">Увеличение количества поселений обеспеченных водой надлежащего качества </t>
    </r>
    <r>
      <rPr>
        <sz val="8"/>
        <rFont val="Arial"/>
        <family val="2"/>
      </rPr>
      <t>(нарастающим итогом)</t>
    </r>
  </si>
  <si>
    <t>не запланировано</t>
  </si>
  <si>
    <t xml:space="preserve"> - улучшение жилищных условий не менее 12 семей и молодых специалистов, проживающих сельской местности</t>
  </si>
  <si>
    <t>не предусмотрено</t>
  </si>
  <si>
    <t xml:space="preserve">фактический вес критерия </t>
  </si>
  <si>
    <t>ВСЕГО</t>
  </si>
  <si>
    <t xml:space="preserve">фактически принятый вес критерия </t>
  </si>
  <si>
    <t>от 0 до 1 (1)</t>
  </si>
  <si>
    <t>от 0 до 1  (1)</t>
  </si>
  <si>
    <t>от 0 до 1          (1)</t>
  </si>
  <si>
    <t xml:space="preserve">от 0 до 1          </t>
  </si>
  <si>
    <r>
      <t xml:space="preserve">Вес критерия </t>
    </r>
    <r>
      <rPr>
        <sz val="8"/>
        <rFont val="Arial"/>
        <family val="2"/>
      </rPr>
      <t>(баллы)</t>
    </r>
  </si>
  <si>
    <t>ДЦП  "Государственная поддержка муниципальных образований при строительстве муниципального жилищного фонда и проведении мероприятий по капитальному ремонту жилых домов на 2009 - 2012 годы"</t>
  </si>
  <si>
    <t xml:space="preserve"> Оценка эффективности реализации долгосрочной целевой программы </t>
  </si>
  <si>
    <t>Целеваые покеазатели</t>
  </si>
  <si>
    <t>Целевые показатели</t>
  </si>
  <si>
    <t xml:space="preserve"> Оценка эффективности реализации целевой программы </t>
  </si>
  <si>
    <t>Доля объемов электроэнергии, потребляемой в МКД, оплата которой осуществляется с использованием индивидуальных и общих (для коммунальной квартиры) приборов учета, в общем объеме электроэнергии, потребляемой (используемой) в МКД на территории НАО,%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</si>
  <si>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субъекта Российской Федерации (за исключением многоквартирных домов), %</t>
  </si>
  <si>
    <t>Ненецкого автономного округа</t>
  </si>
  <si>
    <t>Доля объёмов природного газа, расчёты за которую осуществляются с использованием приборов учёта (в части МКД)- с использованием индивидуальных и общих  приборов учёта), в общем объеме природного газа, потребляемой на территории НАО (%)</t>
  </si>
  <si>
    <t>Доля объёмов теплоэнергии, потребляемой бюджетными учреждениями, расчёты за которую осуществляются с использованием приборов учёта, в общем объёме теплоэнергии, потребляемой бюджетными учреждениями на территории НАО (%)</t>
  </si>
  <si>
    <t>Доля объёмов воды, потребляемой бюджетными учреждениями, расчёты за которую осуществляются с использованием приборов учёта, в общем объёме воды, потребляемой бюджетными учреждениями на территории НАО (%)</t>
  </si>
  <si>
    <t>2009    план</t>
  </si>
  <si>
    <t xml:space="preserve">Значение показателей </t>
  </si>
  <si>
    <t>2009    факт</t>
  </si>
  <si>
    <t>2011   план</t>
  </si>
  <si>
    <r>
      <t xml:space="preserve">50 </t>
    </r>
    <r>
      <rPr>
        <sz val="7"/>
        <rFont val="Arial"/>
        <family val="2"/>
      </rPr>
      <t>(ввод 24 квартир в 2011 г.)</t>
    </r>
  </si>
  <si>
    <t>Доля объемов ТЭ, потребляемой в многоквартирных домах, оплата которой осуществляется с использованием коллективных (общедомовых) приборов учета, в общем объеме ТЭ, потребляемой в многоквартирных домах на территории субъекта Российской Федерации, %</t>
  </si>
  <si>
    <t>Доля многоквартирных домов на территории Ненецкого автономного округа подлежащих оснащению общедомовыми (коллективными)приборами учета электрической энергии оборудованных общедомовыми (коллективными) приборами учета электрической энергии,%</t>
  </si>
  <si>
    <t>Доля многоквартирных домов на территории Ненецкого автономного округа подлежащих оснащению общедомовыми (коллективными)приборами учета холодного водоснабжения оборудованных общедомовыми (коллективными) приборами учета холодного водоснабжения,%</t>
  </si>
  <si>
    <t>Увеличение протяженности магистральных линий электропередач</t>
  </si>
  <si>
    <t>от 0 до 1 (0,20)</t>
  </si>
  <si>
    <t xml:space="preserve">Количество семей, улучшивших жилищные условия путём участия в жилищном кредитовании, в том числе ипотечном, с помощью социальной поддержки, семей </t>
  </si>
  <si>
    <t>Снижение затрат участников программы по выплате процентной ставки за пользование кредитными или заёмными средствами (значение фактической процентной ставки),%</t>
  </si>
  <si>
    <t>от 0 до 1          (0,94)</t>
  </si>
  <si>
    <t>от 0 до 1          (0,951)</t>
  </si>
  <si>
    <t>от 0 до 1          (1,0)</t>
  </si>
  <si>
    <t>Эффективность  реализации целевой программы - 98,5%. Целевые показатели  и мероприятия  Программы выполнены в полном объеме. Программа эффективна и может быть продолжена. При планировании програмных мероприятий на соответствующий год, необходимо учитывать объем собственных средств граждан на  строительство (приобретении)  жилья как по плану, так и фактичкски.</t>
  </si>
  <si>
    <t xml:space="preserve"> План     2011 г.        </t>
  </si>
  <si>
    <t xml:space="preserve">Факт         2011 г.        </t>
  </si>
  <si>
    <t xml:space="preserve"> План     2012 г.        </t>
  </si>
  <si>
    <t xml:space="preserve">Факт         2012 г.        </t>
  </si>
  <si>
    <t>от 0 до 1    (0,28)</t>
  </si>
  <si>
    <r>
      <t>от 0 до 1           (0,556</t>
    </r>
    <r>
      <rPr>
        <sz val="10"/>
        <color indexed="10"/>
        <rFont val="Arial"/>
        <family val="2"/>
      </rPr>
      <t>)</t>
    </r>
  </si>
  <si>
    <r>
      <t>От 0 до 1    (</t>
    </r>
    <r>
      <rPr>
        <sz val="9"/>
        <rFont val="Arial"/>
        <family val="2"/>
      </rPr>
      <t xml:space="preserve">0,86) </t>
    </r>
  </si>
  <si>
    <r>
      <t>От 0 до 1    (</t>
    </r>
    <r>
      <rPr>
        <sz val="9"/>
        <rFont val="Arial"/>
        <family val="2"/>
      </rPr>
      <t xml:space="preserve">0,236) </t>
    </r>
  </si>
  <si>
    <t>Начальник Управления финансов               Ненецкого автономного округа</t>
  </si>
  <si>
    <t xml:space="preserve"> Оценка эффективности реализации целевой программы в 2012 году</t>
  </si>
  <si>
    <t xml:space="preserve">В рамках программы показатели не утверждены </t>
  </si>
  <si>
    <t>Начальник Управления финансов       Ненецкого автономного округа</t>
  </si>
  <si>
    <t>1514/4073</t>
  </si>
  <si>
    <t>Значение показателей на начало реализации Программы</t>
  </si>
  <si>
    <t>2011          факт</t>
  </si>
  <si>
    <t>2012          факт</t>
  </si>
  <si>
    <t>155/501</t>
  </si>
  <si>
    <t>11,8</t>
  </si>
  <si>
    <t>0,6</t>
  </si>
  <si>
    <t>210,5</t>
  </si>
  <si>
    <r>
      <t xml:space="preserve">от 0 до 1 </t>
    </r>
    <r>
      <rPr>
        <sz val="8"/>
        <rFont val="Arial"/>
        <family val="2"/>
      </rPr>
      <t>(0,988)</t>
    </r>
  </si>
  <si>
    <r>
      <t xml:space="preserve">от 0 до 1 </t>
    </r>
    <r>
      <rPr>
        <sz val="9"/>
        <rFont val="Arial"/>
        <family val="2"/>
      </rPr>
      <t>(0,659)</t>
    </r>
  </si>
  <si>
    <r>
      <t>От 0 до 1    (</t>
    </r>
    <r>
      <rPr>
        <sz val="9"/>
        <rFont val="Arial"/>
        <family val="2"/>
      </rPr>
      <t xml:space="preserve">0,825) </t>
    </r>
  </si>
  <si>
    <t xml:space="preserve">От 0 до 1    (0,912) </t>
  </si>
  <si>
    <r>
      <t>От 0 до 1                        (1,0</t>
    </r>
    <r>
      <rPr>
        <sz val="9"/>
        <rFont val="Arial"/>
        <family val="2"/>
      </rPr>
      <t xml:space="preserve">) </t>
    </r>
  </si>
  <si>
    <r>
      <t>От 0 до 1    (</t>
    </r>
    <r>
      <rPr>
        <sz val="9"/>
        <rFont val="Arial"/>
        <family val="2"/>
      </rPr>
      <t xml:space="preserve">0,915) </t>
    </r>
  </si>
  <si>
    <r>
      <t>От 0 до 1    (</t>
    </r>
    <r>
      <rPr>
        <sz val="9"/>
        <rFont val="Arial"/>
        <family val="2"/>
      </rPr>
      <t xml:space="preserve">0,842) </t>
    </r>
  </si>
  <si>
    <r>
      <t>От 0 до 1    (</t>
    </r>
    <r>
      <rPr>
        <sz val="9"/>
        <rFont val="Arial"/>
        <family val="2"/>
      </rPr>
      <t xml:space="preserve">0,806) </t>
    </r>
  </si>
  <si>
    <t>От 0 до 1 (0,884)</t>
  </si>
  <si>
    <t>Значение показателей</t>
  </si>
  <si>
    <t xml:space="preserve"> ввод в 2010 г.</t>
  </si>
  <si>
    <t>в том числе доля молодых семей, в %</t>
  </si>
  <si>
    <r>
      <t>2</t>
    </r>
    <r>
      <rPr>
        <sz val="9"/>
        <rFont val="Arial"/>
        <family val="2"/>
      </rPr>
      <t>. Соответствие целей и задач мероприятий целевой программы полномочиям Ненецкого автономного округа как субъекта Российской Федерации</t>
    </r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</si>
  <si>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транспорту,регулирование тарифов на услуги по перевозке на котором осуществляется Ненецким автономным округом,шт</t>
  </si>
  <si>
    <t>"Социальное развитие села на территории Ненецкого автономного округа на 2009 - 2012 годы"</t>
  </si>
  <si>
    <t xml:space="preserve">от 0 до 1 (1,0) </t>
  </si>
  <si>
    <t>От 0 до 1  (1,0)</t>
  </si>
  <si>
    <t>от 0 до 1 (0,959)</t>
  </si>
  <si>
    <t>от 0 до 1 (0,688)</t>
  </si>
  <si>
    <t>от 0 до 1 (0,781)</t>
  </si>
  <si>
    <t xml:space="preserve">Эффективность реализации целевой программы - 76,6%.   Программа достаточно эффективная.  В 2012 году осуществлялось  исполнение государственных контрактов по строительству   домов государственного, муниципального и специализированного жилищного фонда,  заключенных в 2011 году за счет остатков средств 2011 года. Фактическое освоение средств, выделенных в   2012 года составило 62,0%.  Целевые показатели программы, утвержденные на 2012 год, выполнены от 46,0% до 100%.  Со стороны государственного заказчикика  необходимо обратить внимание на   мониторинг выполнения программных мероприятий и освоения перечисленных средств, эффективное планировании сроков строительства объектов  и объемов их финансирования.  </t>
  </si>
  <si>
    <t>от 0 до 1 (0,556)</t>
  </si>
  <si>
    <t>от 0 до 1  (0,69)</t>
  </si>
  <si>
    <t>до 50</t>
  </si>
  <si>
    <t>до 12</t>
  </si>
  <si>
    <r>
      <t xml:space="preserve">количество семей, состоящих на учёте в очереди на получение социального жилья, по МО,  участвующим в Программе  - </t>
    </r>
    <r>
      <rPr>
        <b/>
        <sz val="8"/>
        <rFont val="Arial"/>
        <family val="2"/>
      </rPr>
      <t>3179 семей</t>
    </r>
  </si>
  <si>
    <r>
      <t xml:space="preserve">количество семей, состоящих на учёте в очереди на получение специализированного жилья, по МО,  участвующим в Программе  - </t>
    </r>
    <r>
      <rPr>
        <b/>
        <sz val="8"/>
        <rFont val="Arial"/>
        <family val="2"/>
      </rPr>
      <t>238 семей</t>
    </r>
  </si>
  <si>
    <t>"Обеспечение населения Ненецкого автономного округа чистой водой"</t>
  </si>
  <si>
    <t>Увеличение количества населения, обеспеченного водой надлежащего качества (тыс.чел.)</t>
  </si>
  <si>
    <t>Численность населения, имеющего долступ к централизованному водоснабжению (тыс. чел.)</t>
  </si>
  <si>
    <r>
      <t>Увеличение пропускной способности канализационных очистных сооружений(тыс.м</t>
    </r>
    <r>
      <rPr>
        <sz val="8"/>
        <rFont val="Arial"/>
        <family val="2"/>
      </rPr>
      <t>3</t>
    </r>
    <r>
      <rPr>
        <sz val="10"/>
        <rFont val="Arial"/>
        <family val="2"/>
      </rPr>
      <t>/сут.)</t>
    </r>
  </si>
  <si>
    <t xml:space="preserve">Снос ветхих жилых домов </t>
  </si>
  <si>
    <t>Наименование показателей</t>
  </si>
  <si>
    <t>Значение целевых показателей на начало действия программы (2009г.)</t>
  </si>
  <si>
    <t>Объём закупок сельскохозяйственной продукции, сырья, дикорастущих плодов и ягод, тн. (в % к предыдущему году)</t>
  </si>
  <si>
    <t>2012год   план</t>
  </si>
  <si>
    <t>2013-2015    план</t>
  </si>
  <si>
    <t>52,0           (на 26,0%)</t>
  </si>
  <si>
    <t>520638,0 (9,1%)</t>
  </si>
  <si>
    <r>
      <t xml:space="preserve">2011    </t>
    </r>
    <r>
      <rPr>
        <b/>
        <sz val="8"/>
        <rFont val="Arial"/>
        <family val="2"/>
      </rPr>
      <t>факт</t>
    </r>
  </si>
  <si>
    <t>53300,0    (13,4%)</t>
  </si>
  <si>
    <t>402,0     (8,6%)</t>
  </si>
  <si>
    <r>
      <t>1</t>
    </r>
    <r>
      <rPr>
        <sz val="9"/>
        <rFont val="Arial"/>
        <family val="2"/>
      </rPr>
      <t>. Актуальность на настоящий момент Программы в целом и её мероприятий в соответствии с социально-экономическими приоритетами Российской Федерации, Ненецкого автономного округа</t>
    </r>
  </si>
  <si>
    <r>
      <t xml:space="preserve">Площадь снесёных ветхих жилых домов (кв.м.) - </t>
    </r>
    <r>
      <rPr>
        <b/>
        <sz val="8"/>
        <rFont val="Arial"/>
        <family val="2"/>
      </rPr>
      <t xml:space="preserve">0 </t>
    </r>
  </si>
  <si>
    <r>
      <t xml:space="preserve">Площадь благоустроенной территории (тыс. кв. м.) - </t>
    </r>
    <r>
      <rPr>
        <b/>
        <sz val="8"/>
        <rFont val="Arial"/>
        <family val="2"/>
      </rPr>
      <t>25,94</t>
    </r>
  </si>
  <si>
    <r>
      <t xml:space="preserve">Увеличение колличества регулируемых перекрёстков (ед) - </t>
    </r>
    <r>
      <rPr>
        <b/>
        <sz val="8"/>
        <rFont val="Arial"/>
        <family val="2"/>
      </rPr>
      <t>3</t>
    </r>
  </si>
  <si>
    <t>Значение показателей по окончанию каждого года реализации Программы (нарастающий с начала действия программы)</t>
  </si>
  <si>
    <t>Реконструкция улично-дорожной сети</t>
  </si>
  <si>
    <t xml:space="preserve"> Оценка эффективности реализации подпрограммы </t>
  </si>
  <si>
    <t xml:space="preserve"> Оценка эффективности реализации  подпрограммы </t>
  </si>
  <si>
    <t>Первый этап      2011-2015 годы     план</t>
  </si>
  <si>
    <t>Общая площадь жилых помещений, построенных на земельных участках, обеспеченных коммунальной инфраструктурой в рамках подпрограммы, тыс.кв. м.</t>
  </si>
  <si>
    <t>от 0 до 1  (0, 628)</t>
  </si>
  <si>
    <t>от 0 до 1   (0,685)</t>
  </si>
  <si>
    <t>от 0 до 1 (0,769)</t>
  </si>
  <si>
    <t>От 0 до 1   (0,944)</t>
  </si>
  <si>
    <t>от 0 до 1 (0,951)</t>
  </si>
  <si>
    <t>от 0 до 1 (0,410)</t>
  </si>
  <si>
    <t xml:space="preserve">Начальник Управления финансов      Ненецкого автономного округа </t>
  </si>
  <si>
    <t>Н.А.Семяшкина</t>
  </si>
  <si>
    <r>
      <t xml:space="preserve">Доля объемов </t>
    </r>
    <r>
      <rPr>
        <b/>
        <sz val="8"/>
        <rFont val="Arial"/>
        <family val="2"/>
      </rPr>
      <t>воды</t>
    </r>
    <r>
      <rPr>
        <sz val="8"/>
        <rFont val="Arial"/>
        <family val="2"/>
      </rPr>
      <t>, потребляемой в жилых домах (за исключением многоквартирных домах), расчеты за которую осуществляются с использованием приборов учета, в общем объеме воды, потребляемой (используемой) в жилых домах (за исключением многоквартирных домах) на территории субъекта Российской Федерации, %</t>
    </r>
  </si>
  <si>
    <r>
      <t xml:space="preserve">Доля объемов </t>
    </r>
    <r>
      <rPr>
        <b/>
        <sz val="8"/>
        <rFont val="Arial"/>
        <family val="2"/>
      </rPr>
      <t>воды,</t>
    </r>
    <r>
      <rPr>
        <sz val="8"/>
        <rFont val="Arial"/>
        <family val="2"/>
      </rPr>
      <t xml:space="preserve"> потребляемой (используемой) в многоквартирных домах, расчеты за которую осуществляются с использованием коллективных (общедомовых) приборов учета, в общем объеме воды, потребляемой (используемой) в многоквартирных домах на территории субъекта Российской Федерации, %</t>
    </r>
  </si>
  <si>
    <r>
      <t xml:space="preserve">Доля объемов </t>
    </r>
    <r>
      <rPr>
        <b/>
        <sz val="8"/>
        <rFont val="Arial"/>
        <family val="2"/>
      </rPr>
      <t>воды</t>
    </r>
    <r>
      <rPr>
        <sz val="8"/>
        <rFont val="Arial"/>
        <family val="2"/>
      </rPr>
      <t>, потребляемой  в многоквартирных домах, расчеты за которую осуществляются с использованием индивидуальных и (общедомовых приборов учета, в общем объеме воды, потребляемой (используемой) в многоквартирных домах на территории субъекта Российской Федерации, %</t>
    </r>
  </si>
  <si>
    <t>Снижение количества семей и одиноко проживающих граждан, состоящих на учете для получения жилых помещений государственного жилищного фонда по  по состоянию на 01.01.2010г. по договорам  найма специализированного помещения, семей</t>
  </si>
  <si>
    <t>Обеспечение  семей и одиноко проживающих граждан жилыми помещениями государственного жилищного фонда, принятых на учет для получения жилых помещений после 01.01.2010г. по договорам найма специализированного помещения, семей</t>
  </si>
  <si>
    <t>Обеспеченность общей площадью жилья, кв.м./чел</t>
  </si>
  <si>
    <t>Прирост общей площади жилья, %</t>
  </si>
  <si>
    <t>Ведено в эксплуатацию жилья, тыс.кв. м.</t>
  </si>
  <si>
    <t>от 0 до 1 (0,875)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</si>
</sst>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00"/>
    <numFmt numFmtId="171" formatCode="0.0000"/>
    <numFmt numFmtId="172" formatCode="0.000"/>
    <numFmt numFmtId="173" formatCode="[$-FC19]d\ mmmm\ yyyy\ &quot;г.&quot;"/>
    <numFmt numFmtId="174" formatCode="0.000000"/>
    <numFmt numFmtId="175" formatCode="0.0000000"/>
    <numFmt numFmtId="176" formatCode="#,##0.0"/>
    <numFmt numFmtId="177" formatCode="0.00000000"/>
    <numFmt numFmtId="178" formatCode="0.000000000"/>
    <numFmt numFmtId="179" formatCode="#,##0.000"/>
  </numFmts>
  <fonts count="3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8"/>
      <name val="Arial"/>
      <family val="2"/>
    </font>
    <font>
      <sz val="9"/>
      <name val="Arial Cyr"/>
      <family val="0"/>
    </font>
    <font>
      <b/>
      <sz val="10"/>
      <color indexed="10"/>
      <name val="Arial"/>
      <family val="2"/>
    </font>
    <font>
      <b/>
      <sz val="10"/>
      <color indexed="1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sz val="8"/>
      <color indexed="60"/>
      <name val="Arial Cyr"/>
      <family val="0"/>
    </font>
    <font>
      <sz val="8"/>
      <color indexed="60"/>
      <name val="Arial"/>
      <family val="2"/>
    </font>
    <font>
      <u val="single"/>
      <sz val="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sz val="7"/>
      <color indexed="10"/>
      <name val="Arial"/>
      <family val="2"/>
    </font>
    <font>
      <sz val="9"/>
      <color indexed="62"/>
      <name val="Arial"/>
      <family val="2"/>
    </font>
    <font>
      <sz val="7"/>
      <color indexed="62"/>
      <name val="Arial"/>
      <family val="2"/>
    </font>
    <font>
      <sz val="10"/>
      <color indexed="62"/>
      <name val="Arial Cyr"/>
      <family val="0"/>
    </font>
    <font>
      <sz val="8"/>
      <color indexed="17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68" fontId="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8" fontId="1" fillId="0" borderId="0" xfId="0" applyNumberFormat="1" applyFont="1" applyAlignment="1">
      <alignment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68" fontId="6" fillId="0" borderId="1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2" fontId="3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6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168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8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8" fontId="1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/>
    </xf>
    <xf numFmtId="168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168" fontId="25" fillId="0" borderId="1" xfId="0" applyNumberFormat="1" applyFont="1" applyBorder="1" applyAlignment="1">
      <alignment horizontal="center"/>
    </xf>
    <xf numFmtId="168" fontId="24" fillId="0" borderId="1" xfId="0" applyNumberFormat="1" applyFont="1" applyBorder="1" applyAlignment="1">
      <alignment horizontal="center" wrapText="1"/>
    </xf>
    <xf numFmtId="168" fontId="25" fillId="0" borderId="1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1" xfId="0" applyNumberFormat="1" applyFont="1" applyBorder="1" applyAlignment="1">
      <alignment horizontal="left" wrapText="1"/>
    </xf>
    <xf numFmtId="2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right"/>
    </xf>
    <xf numFmtId="172" fontId="3" fillId="0" borderId="0" xfId="0" applyNumberFormat="1" applyFont="1" applyAlignment="1">
      <alignment wrapText="1"/>
    </xf>
    <xf numFmtId="17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168" fontId="8" fillId="0" borderId="0" xfId="0" applyNumberFormat="1" applyFont="1" applyAlignment="1">
      <alignment wrapText="1"/>
    </xf>
    <xf numFmtId="0" fontId="7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2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169" fontId="3" fillId="0" borderId="0" xfId="0" applyNumberFormat="1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8" fontId="3" fillId="0" borderId="0" xfId="0" applyNumberFormat="1" applyFont="1" applyAlignment="1">
      <alignment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168" fontId="30" fillId="0" borderId="1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/>
    </xf>
    <xf numFmtId="168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 vertical="center"/>
    </xf>
    <xf numFmtId="172" fontId="4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8" fontId="1" fillId="0" borderId="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172" fontId="9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2" fontId="6" fillId="0" borderId="1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20" fillId="0" borderId="1" xfId="0" applyFont="1" applyBorder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0" fontId="27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168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76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168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4" fillId="0" borderId="1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1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168" fontId="4" fillId="0" borderId="1" xfId="0" applyNumberFormat="1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5" xfId="0" applyFont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168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72" fontId="3" fillId="0" borderId="0" xfId="0" applyNumberFormat="1" applyFont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172" fontId="3" fillId="0" borderId="0" xfId="0" applyNumberFormat="1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36" fillId="0" borderId="0" xfId="0" applyNumberFormat="1" applyFont="1" applyAlignment="1">
      <alignment horizontal="left" wrapText="1"/>
    </xf>
    <xf numFmtId="0" fontId="36" fillId="0" borderId="0" xfId="0" applyFont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2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/>
    </xf>
    <xf numFmtId="176" fontId="21" fillId="2" borderId="0" xfId="0" applyNumberFormat="1" applyFont="1" applyFill="1" applyBorder="1" applyAlignment="1">
      <alignment/>
    </xf>
    <xf numFmtId="176" fontId="22" fillId="2" borderId="0" xfId="0" applyNumberFormat="1" applyFont="1" applyFill="1" applyBorder="1" applyAlignment="1">
      <alignment/>
    </xf>
    <xf numFmtId="176" fontId="4" fillId="2" borderId="0" xfId="0" applyNumberFormat="1" applyFont="1" applyFill="1" applyAlignment="1">
      <alignment horizontal="left"/>
    </xf>
    <xf numFmtId="176" fontId="21" fillId="2" borderId="0" xfId="0" applyNumberFormat="1" applyFont="1" applyFill="1" applyAlignment="1">
      <alignment/>
    </xf>
    <xf numFmtId="176" fontId="22" fillId="2" borderId="0" xfId="0" applyNumberFormat="1" applyFont="1" applyFill="1" applyAlignment="1">
      <alignment/>
    </xf>
    <xf numFmtId="0" fontId="4" fillId="2" borderId="0" xfId="0" applyFont="1" applyFill="1" applyAlignment="1">
      <alignment horizontal="left"/>
    </xf>
    <xf numFmtId="0" fontId="33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8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35.25390625" style="0" customWidth="1"/>
    <col min="2" max="2" width="12.75390625" style="0" customWidth="1"/>
    <col min="4" max="4" width="7.875" style="0" customWidth="1"/>
    <col min="5" max="5" width="8.00390625" style="0" customWidth="1"/>
    <col min="6" max="6" width="7.75390625" style="0" customWidth="1"/>
    <col min="7" max="7" width="8.00390625" style="0" customWidth="1"/>
    <col min="8" max="8" width="7.875" style="0" customWidth="1"/>
  </cols>
  <sheetData>
    <row r="1" spans="1:14" ht="12.75" customHeight="1">
      <c r="A1" s="322" t="s">
        <v>477</v>
      </c>
      <c r="B1" s="322"/>
      <c r="C1" s="322"/>
      <c r="D1" s="322"/>
      <c r="E1" s="322"/>
      <c r="F1" s="101"/>
      <c r="G1" s="101"/>
      <c r="H1" s="101"/>
      <c r="I1" s="71"/>
      <c r="J1" s="71"/>
      <c r="K1" s="71"/>
      <c r="L1" s="71"/>
      <c r="M1" s="71"/>
      <c r="N1" s="71"/>
    </row>
    <row r="2" spans="1:14" ht="52.5" customHeight="1">
      <c r="A2" s="323" t="s">
        <v>45</v>
      </c>
      <c r="B2" s="323"/>
      <c r="C2" s="323"/>
      <c r="D2" s="323"/>
      <c r="E2" s="323"/>
      <c r="F2" s="324"/>
      <c r="G2" s="324"/>
      <c r="H2" s="84"/>
      <c r="I2" s="76"/>
      <c r="J2" s="76"/>
      <c r="K2" s="76"/>
      <c r="L2" s="76"/>
      <c r="M2" s="76"/>
      <c r="N2" s="76"/>
    </row>
    <row r="3" spans="1:14" ht="12.75" customHeight="1">
      <c r="A3" s="84"/>
      <c r="B3" s="84"/>
      <c r="C3" s="84"/>
      <c r="D3" s="84"/>
      <c r="E3" s="84"/>
      <c r="F3" s="84"/>
      <c r="G3" s="84"/>
      <c r="H3" s="84"/>
      <c r="I3" s="76"/>
      <c r="J3" s="76"/>
      <c r="K3" s="76"/>
      <c r="L3" s="76"/>
      <c r="M3" s="76"/>
      <c r="N3" s="76"/>
    </row>
    <row r="4" s="1" customFormat="1" ht="12.75">
      <c r="A4" s="16" t="s">
        <v>384</v>
      </c>
    </row>
    <row r="5" spans="1:13" s="1" customFormat="1" ht="60.75" customHeight="1">
      <c r="A5" s="8" t="s">
        <v>358</v>
      </c>
      <c r="B5" s="8" t="s">
        <v>359</v>
      </c>
      <c r="C5" s="54" t="s">
        <v>478</v>
      </c>
      <c r="D5" s="8" t="s">
        <v>182</v>
      </c>
      <c r="E5" s="8" t="s">
        <v>183</v>
      </c>
      <c r="F5" s="8" t="s">
        <v>184</v>
      </c>
      <c r="G5" s="8" t="s">
        <v>185</v>
      </c>
      <c r="H5" s="8" t="s">
        <v>213</v>
      </c>
      <c r="M5" s="107"/>
    </row>
    <row r="6" spans="1:13" s="1" customFormat="1" ht="87" customHeight="1">
      <c r="A6" s="9" t="s">
        <v>343</v>
      </c>
      <c r="B6" s="7">
        <v>3364</v>
      </c>
      <c r="C6" s="7" t="s">
        <v>265</v>
      </c>
      <c r="D6" s="202" t="s">
        <v>207</v>
      </c>
      <c r="E6" s="156" t="s">
        <v>339</v>
      </c>
      <c r="F6" s="202" t="s">
        <v>209</v>
      </c>
      <c r="G6" s="7" t="s">
        <v>186</v>
      </c>
      <c r="H6" s="7" t="s">
        <v>211</v>
      </c>
      <c r="M6" s="209"/>
    </row>
    <row r="7" spans="1:13" s="1" customFormat="1" ht="24">
      <c r="A7" s="157" t="s">
        <v>340</v>
      </c>
      <c r="B7" s="7">
        <v>9532</v>
      </c>
      <c r="C7" s="11" t="s">
        <v>341</v>
      </c>
      <c r="D7" s="203" t="s">
        <v>208</v>
      </c>
      <c r="E7" s="198" t="s">
        <v>342</v>
      </c>
      <c r="F7" s="203" t="s">
        <v>210</v>
      </c>
      <c r="G7" s="11" t="s">
        <v>187</v>
      </c>
      <c r="H7" s="11" t="s">
        <v>212</v>
      </c>
      <c r="M7" s="207"/>
    </row>
    <row r="8" spans="1:13" s="1" customFormat="1" ht="86.25" customHeight="1">
      <c r="A8" s="9" t="s">
        <v>491</v>
      </c>
      <c r="B8" s="7">
        <v>139</v>
      </c>
      <c r="C8" s="11">
        <v>139</v>
      </c>
      <c r="D8" s="203">
        <v>0</v>
      </c>
      <c r="E8" s="198">
        <v>0</v>
      </c>
      <c r="F8" s="205" t="s">
        <v>214</v>
      </c>
      <c r="G8" s="179" t="s">
        <v>215</v>
      </c>
      <c r="H8" s="206"/>
      <c r="M8" s="207"/>
    </row>
    <row r="9" spans="1:13" s="1" customFormat="1" ht="12.75">
      <c r="A9" s="157" t="s">
        <v>340</v>
      </c>
      <c r="B9" s="7">
        <v>218</v>
      </c>
      <c r="C9" s="11">
        <v>218</v>
      </c>
      <c r="D9" s="203">
        <v>0</v>
      </c>
      <c r="E9" s="198">
        <v>0</v>
      </c>
      <c r="F9" s="205">
        <v>276</v>
      </c>
      <c r="G9" s="179">
        <v>128</v>
      </c>
      <c r="H9" s="179"/>
      <c r="M9" s="112"/>
    </row>
    <row r="10" spans="1:13" ht="90" customHeight="1">
      <c r="A10" s="9" t="s">
        <v>492</v>
      </c>
      <c r="B10" s="158">
        <v>0</v>
      </c>
      <c r="C10" s="158">
        <v>20</v>
      </c>
      <c r="D10" s="204">
        <v>0</v>
      </c>
      <c r="E10" s="159">
        <v>0</v>
      </c>
      <c r="F10" s="204">
        <v>0</v>
      </c>
      <c r="G10" s="158">
        <v>0</v>
      </c>
      <c r="H10" s="158">
        <v>0</v>
      </c>
      <c r="M10" s="112"/>
    </row>
    <row r="11" spans="1:13" ht="15" customHeight="1">
      <c r="A11" s="157" t="s">
        <v>340</v>
      </c>
      <c r="B11" s="158">
        <v>0</v>
      </c>
      <c r="C11" s="158">
        <v>76</v>
      </c>
      <c r="D11" s="204">
        <v>0</v>
      </c>
      <c r="E11" s="159">
        <v>0</v>
      </c>
      <c r="F11" s="204">
        <v>0</v>
      </c>
      <c r="G11" s="158">
        <v>0</v>
      </c>
      <c r="H11" s="158">
        <v>0</v>
      </c>
      <c r="M11" s="112"/>
    </row>
    <row r="12" spans="1:13" ht="25.5" customHeight="1">
      <c r="A12" s="157" t="s">
        <v>493</v>
      </c>
      <c r="B12" s="158">
        <v>22.8</v>
      </c>
      <c r="C12" s="158">
        <v>25.3</v>
      </c>
      <c r="D12" s="204">
        <v>23.3</v>
      </c>
      <c r="E12" s="159">
        <v>24.6</v>
      </c>
      <c r="F12" s="204">
        <v>23.8</v>
      </c>
      <c r="G12" s="158">
        <v>25.1</v>
      </c>
      <c r="H12" s="109"/>
      <c r="M12" s="160"/>
    </row>
    <row r="13" spans="1:13" ht="15" customHeight="1">
      <c r="A13" s="157" t="s">
        <v>494</v>
      </c>
      <c r="B13" s="158">
        <v>100</v>
      </c>
      <c r="C13" s="158">
        <v>114.2</v>
      </c>
      <c r="D13" s="204">
        <v>104</v>
      </c>
      <c r="E13" s="159">
        <v>103</v>
      </c>
      <c r="F13" s="204">
        <v>107</v>
      </c>
      <c r="G13" s="158">
        <v>105</v>
      </c>
      <c r="H13" s="158"/>
      <c r="M13" s="208"/>
    </row>
    <row r="14" spans="1:14" ht="15" customHeight="1">
      <c r="A14" s="157" t="s">
        <v>495</v>
      </c>
      <c r="B14" s="158">
        <v>958.4</v>
      </c>
      <c r="C14" s="158"/>
      <c r="D14" s="432">
        <v>38.4</v>
      </c>
      <c r="E14" s="433">
        <v>28.08</v>
      </c>
      <c r="F14" s="432">
        <v>6.83</v>
      </c>
      <c r="G14" s="158">
        <v>4.7</v>
      </c>
      <c r="H14" s="158"/>
      <c r="K14" s="162"/>
      <c r="M14" s="208"/>
      <c r="N14" s="162"/>
    </row>
    <row r="15" spans="1:9" s="1" customFormat="1" ht="21.75" customHeight="1">
      <c r="A15" s="319" t="s">
        <v>417</v>
      </c>
      <c r="B15" s="319"/>
      <c r="C15" s="319"/>
      <c r="D15" s="319"/>
      <c r="E15" s="319"/>
      <c r="F15" s="319"/>
      <c r="G15" s="319"/>
      <c r="H15" s="319"/>
      <c r="I15" s="319"/>
    </row>
    <row r="16" s="1" customFormat="1" ht="12.75">
      <c r="A16" s="2"/>
    </row>
    <row r="17" spans="1:8" s="1" customFormat="1" ht="36.75" customHeight="1">
      <c r="A17" s="5" t="s">
        <v>260</v>
      </c>
      <c r="B17" s="5" t="s">
        <v>261</v>
      </c>
      <c r="C17" s="5" t="s">
        <v>262</v>
      </c>
      <c r="D17" s="5" t="s">
        <v>380</v>
      </c>
      <c r="E17" s="21" t="s">
        <v>375</v>
      </c>
      <c r="F17" s="23"/>
      <c r="G17" s="23"/>
      <c r="H17" s="23"/>
    </row>
    <row r="18" spans="1:8" s="1" customFormat="1" ht="23.25" customHeight="1">
      <c r="A18" s="320" t="s">
        <v>27</v>
      </c>
      <c r="B18" s="25" t="s">
        <v>150</v>
      </c>
      <c r="C18" s="4">
        <v>1</v>
      </c>
      <c r="D18" s="4">
        <v>5</v>
      </c>
      <c r="E18" s="19">
        <v>5</v>
      </c>
      <c r="F18" s="85"/>
      <c r="G18" s="85"/>
      <c r="H18" s="85"/>
    </row>
    <row r="19" spans="1:8" s="1" customFormat="1" ht="43.5" customHeight="1">
      <c r="A19" s="321"/>
      <c r="B19" s="25" t="s">
        <v>151</v>
      </c>
      <c r="C19" s="4">
        <v>0</v>
      </c>
      <c r="D19" s="4"/>
      <c r="E19" s="19"/>
      <c r="F19" s="85"/>
      <c r="G19" s="85"/>
      <c r="H19" s="85"/>
    </row>
    <row r="20" spans="1:8" s="1" customFormat="1" ht="24" customHeight="1">
      <c r="A20" s="320" t="s">
        <v>28</v>
      </c>
      <c r="B20" s="25" t="s">
        <v>150</v>
      </c>
      <c r="C20" s="4">
        <v>1</v>
      </c>
      <c r="D20" s="4">
        <v>5</v>
      </c>
      <c r="E20" s="19">
        <v>5</v>
      </c>
      <c r="F20" s="85"/>
      <c r="G20" s="85"/>
      <c r="H20" s="85"/>
    </row>
    <row r="21" spans="1:8" s="1" customFormat="1" ht="31.5" customHeight="1">
      <c r="A21" s="321"/>
      <c r="B21" s="25" t="s">
        <v>151</v>
      </c>
      <c r="C21" s="4">
        <v>0</v>
      </c>
      <c r="D21" s="4"/>
      <c r="E21" s="19"/>
      <c r="F21" s="85"/>
      <c r="G21" s="85"/>
      <c r="H21" s="85"/>
    </row>
    <row r="22" spans="1:8" s="1" customFormat="1" ht="25.5" customHeight="1">
      <c r="A22" s="320" t="s">
        <v>29</v>
      </c>
      <c r="B22" s="25" t="s">
        <v>150</v>
      </c>
      <c r="C22" s="4">
        <v>1</v>
      </c>
      <c r="D22" s="4">
        <v>5</v>
      </c>
      <c r="E22" s="19">
        <v>5</v>
      </c>
      <c r="F22" s="85"/>
      <c r="G22" s="85"/>
      <c r="H22" s="85"/>
    </row>
    <row r="23" spans="1:8" s="1" customFormat="1" ht="33.75" customHeight="1">
      <c r="A23" s="321"/>
      <c r="B23" s="25" t="s">
        <v>151</v>
      </c>
      <c r="C23" s="4">
        <v>0</v>
      </c>
      <c r="D23" s="4"/>
      <c r="E23" s="19"/>
      <c r="F23" s="85"/>
      <c r="G23" s="85"/>
      <c r="H23" s="85"/>
    </row>
    <row r="24" spans="1:8" s="1" customFormat="1" ht="109.5" customHeight="1">
      <c r="A24" s="53" t="s">
        <v>30</v>
      </c>
      <c r="B24" s="25" t="s">
        <v>31</v>
      </c>
      <c r="C24" s="4" t="s">
        <v>217</v>
      </c>
      <c r="D24" s="4">
        <v>20</v>
      </c>
      <c r="E24" s="27">
        <f>D24*0.657</f>
        <v>13.14</v>
      </c>
      <c r="F24" s="85"/>
      <c r="G24" s="85"/>
      <c r="H24" s="85"/>
    </row>
    <row r="25" spans="1:8" s="1" customFormat="1" ht="17.25" customHeight="1">
      <c r="A25" s="325" t="s">
        <v>153</v>
      </c>
      <c r="B25" s="326"/>
      <c r="C25" s="326"/>
      <c r="D25" s="327"/>
      <c r="E25" s="19"/>
      <c r="F25" s="85"/>
      <c r="G25" s="85"/>
      <c r="H25" s="85"/>
    </row>
    <row r="26" spans="1:8" s="1" customFormat="1" ht="24" customHeight="1">
      <c r="A26" s="328" t="s">
        <v>154</v>
      </c>
      <c r="B26" s="329"/>
      <c r="C26" s="329"/>
      <c r="D26" s="329"/>
      <c r="E26" s="330"/>
      <c r="F26" s="196"/>
      <c r="G26" s="196"/>
      <c r="H26" s="196"/>
    </row>
    <row r="27" spans="1:15" s="1" customFormat="1" ht="97.5" customHeight="1">
      <c r="A27" s="53" t="s">
        <v>32</v>
      </c>
      <c r="B27" s="25" t="s">
        <v>33</v>
      </c>
      <c r="C27" s="4" t="s">
        <v>218</v>
      </c>
      <c r="D27" s="4">
        <v>10</v>
      </c>
      <c r="E27" s="27">
        <f>D27*0.62</f>
        <v>6.2</v>
      </c>
      <c r="F27" s="119"/>
      <c r="G27" s="119"/>
      <c r="H27" s="119"/>
      <c r="M27" s="154"/>
      <c r="N27" s="331"/>
      <c r="O27" s="331"/>
    </row>
    <row r="28" spans="1:16" s="1" customFormat="1" ht="96" customHeight="1">
      <c r="A28" s="53" t="s">
        <v>34</v>
      </c>
      <c r="B28" s="25" t="s">
        <v>35</v>
      </c>
      <c r="C28" s="4" t="s">
        <v>446</v>
      </c>
      <c r="D28" s="4">
        <v>5</v>
      </c>
      <c r="E28" s="27">
        <f>D28*0.688</f>
        <v>3.4399999999999995</v>
      </c>
      <c r="F28" s="119"/>
      <c r="G28" s="119"/>
      <c r="H28" s="119"/>
      <c r="M28" s="334"/>
      <c r="N28" s="334"/>
      <c r="O28" s="334"/>
      <c r="P28" s="60"/>
    </row>
    <row r="29" spans="1:8" s="1" customFormat="1" ht="24" customHeight="1">
      <c r="A29" s="328" t="s">
        <v>36</v>
      </c>
      <c r="B29" s="329"/>
      <c r="C29" s="329"/>
      <c r="D29" s="329"/>
      <c r="E29" s="330"/>
      <c r="F29" s="196"/>
      <c r="G29" s="196"/>
      <c r="H29" s="196"/>
    </row>
    <row r="30" spans="1:14" s="1" customFormat="1" ht="91.5" customHeight="1">
      <c r="A30" s="53" t="s">
        <v>37</v>
      </c>
      <c r="B30" s="25" t="s">
        <v>35</v>
      </c>
      <c r="C30" s="4" t="s">
        <v>219</v>
      </c>
      <c r="D30" s="4">
        <v>5</v>
      </c>
      <c r="E30" s="27">
        <f>D30*0.438</f>
        <v>2.19</v>
      </c>
      <c r="F30" s="119"/>
      <c r="G30" s="119"/>
      <c r="H30" s="119"/>
      <c r="M30" s="60"/>
      <c r="N30" s="37"/>
    </row>
    <row r="31" spans="1:16" s="1" customFormat="1" ht="91.5" customHeight="1">
      <c r="A31" s="53" t="s">
        <v>38</v>
      </c>
      <c r="B31" s="25" t="s">
        <v>35</v>
      </c>
      <c r="C31" s="4" t="s">
        <v>447</v>
      </c>
      <c r="D31" s="4">
        <v>5</v>
      </c>
      <c r="E31" s="27">
        <f>D31*0.781</f>
        <v>3.9050000000000002</v>
      </c>
      <c r="F31" s="119"/>
      <c r="G31" s="119"/>
      <c r="H31" s="119"/>
      <c r="M31" s="332"/>
      <c r="N31" s="332"/>
      <c r="O31" s="332"/>
      <c r="P31" s="60"/>
    </row>
    <row r="32" spans="1:8" s="1" customFormat="1" ht="27" customHeight="1">
      <c r="A32" s="325" t="s">
        <v>39</v>
      </c>
      <c r="B32" s="326"/>
      <c r="C32" s="326"/>
      <c r="D32" s="326"/>
      <c r="E32" s="327"/>
      <c r="F32" s="118"/>
      <c r="G32" s="118"/>
      <c r="H32" s="118"/>
    </row>
    <row r="33" spans="1:8" s="1" customFormat="1" ht="26.25" customHeight="1">
      <c r="A33" s="328" t="s">
        <v>40</v>
      </c>
      <c r="B33" s="329"/>
      <c r="C33" s="329"/>
      <c r="D33" s="329"/>
      <c r="E33" s="330"/>
      <c r="F33" s="196"/>
      <c r="G33" s="196"/>
      <c r="H33" s="196"/>
    </row>
    <row r="34" spans="1:16" s="1" customFormat="1" ht="62.25" customHeight="1">
      <c r="A34" s="3" t="s">
        <v>41</v>
      </c>
      <c r="B34" s="82" t="s">
        <v>348</v>
      </c>
      <c r="C34" s="4" t="s">
        <v>220</v>
      </c>
      <c r="D34" s="4">
        <v>5</v>
      </c>
      <c r="E34" s="27">
        <f>D34*0.895</f>
        <v>4.475</v>
      </c>
      <c r="F34" s="119"/>
      <c r="G34" s="119"/>
      <c r="H34" s="119"/>
      <c r="M34" s="60"/>
      <c r="N34" s="332"/>
      <c r="O34" s="332"/>
      <c r="P34" s="332"/>
    </row>
    <row r="35" spans="1:8" s="1" customFormat="1" ht="60" customHeight="1">
      <c r="A35" s="3" t="s">
        <v>349</v>
      </c>
      <c r="B35" s="82" t="s">
        <v>348</v>
      </c>
      <c r="C35" s="4" t="s">
        <v>221</v>
      </c>
      <c r="D35" s="4">
        <v>5</v>
      </c>
      <c r="E35" s="27">
        <f>D35*0.961</f>
        <v>4.805</v>
      </c>
      <c r="F35" s="119"/>
      <c r="G35" s="119"/>
      <c r="H35" s="119"/>
    </row>
    <row r="36" spans="1:8" s="1" customFormat="1" ht="27" customHeight="1">
      <c r="A36" s="328" t="s">
        <v>350</v>
      </c>
      <c r="B36" s="329"/>
      <c r="C36" s="329"/>
      <c r="D36" s="329"/>
      <c r="E36" s="330"/>
      <c r="F36" s="196"/>
      <c r="G36" s="196"/>
      <c r="H36" s="196"/>
    </row>
    <row r="37" spans="1:8" s="1" customFormat="1" ht="64.5" customHeight="1">
      <c r="A37" s="53" t="s">
        <v>351</v>
      </c>
      <c r="B37" s="82" t="s">
        <v>348</v>
      </c>
      <c r="C37" s="4" t="s">
        <v>221</v>
      </c>
      <c r="D37" s="4">
        <v>10</v>
      </c>
      <c r="E37" s="27">
        <f>10*0.961</f>
        <v>9.61</v>
      </c>
      <c r="F37" s="119"/>
      <c r="G37" s="119"/>
      <c r="H37" s="119"/>
    </row>
    <row r="38" spans="1:13" s="1" customFormat="1" ht="63" customHeight="1">
      <c r="A38" s="53" t="s">
        <v>352</v>
      </c>
      <c r="B38" s="82" t="s">
        <v>348</v>
      </c>
      <c r="C38" s="4" t="s">
        <v>152</v>
      </c>
      <c r="D38" s="4"/>
      <c r="E38" s="33" t="s">
        <v>372</v>
      </c>
      <c r="F38" s="87"/>
      <c r="G38" s="87"/>
      <c r="H38" s="87"/>
      <c r="M38" s="60"/>
    </row>
    <row r="39" spans="1:13" s="1" customFormat="1" ht="61.5" customHeight="1">
      <c r="A39" s="53" t="s">
        <v>353</v>
      </c>
      <c r="B39" s="82" t="s">
        <v>348</v>
      </c>
      <c r="C39" s="4" t="s">
        <v>222</v>
      </c>
      <c r="D39" s="4">
        <v>5</v>
      </c>
      <c r="E39" s="113">
        <f>D39*0.473</f>
        <v>2.3649999999999998</v>
      </c>
      <c r="F39" s="197"/>
      <c r="G39" s="197"/>
      <c r="H39" s="197"/>
      <c r="M39" s="60"/>
    </row>
    <row r="40" spans="1:8" s="1" customFormat="1" ht="58.5" customHeight="1">
      <c r="A40" s="53" t="s">
        <v>354</v>
      </c>
      <c r="B40" s="82" t="s">
        <v>348</v>
      </c>
      <c r="C40" s="4" t="s">
        <v>152</v>
      </c>
      <c r="D40" s="4"/>
      <c r="E40" s="33" t="s">
        <v>372</v>
      </c>
      <c r="F40" s="87"/>
      <c r="G40" s="87"/>
      <c r="H40" s="87"/>
    </row>
    <row r="41" spans="1:8" s="1" customFormat="1" ht="48" customHeight="1">
      <c r="A41" s="53" t="s">
        <v>355</v>
      </c>
      <c r="B41" s="82" t="s">
        <v>356</v>
      </c>
      <c r="C41" s="4" t="s">
        <v>152</v>
      </c>
      <c r="D41" s="4"/>
      <c r="E41" s="33" t="s">
        <v>372</v>
      </c>
      <c r="F41" s="87"/>
      <c r="G41" s="87"/>
      <c r="H41" s="87"/>
    </row>
    <row r="42" spans="1:14" s="1" customFormat="1" ht="12.75">
      <c r="A42" s="20" t="s">
        <v>374</v>
      </c>
      <c r="B42" s="17"/>
      <c r="C42" s="17"/>
      <c r="D42" s="65">
        <f>D41+D40+D39+D38+D37+D35+D34+D31+D30+D28+D27+D24+D22+D20+D18</f>
        <v>85</v>
      </c>
      <c r="E42" s="65">
        <f>E39+E37+E35+E28++E27+E24+E22+E20+E18+E34+E31+E30</f>
        <v>65.13000000000001</v>
      </c>
      <c r="F42" s="88">
        <f>E42/D42*100</f>
        <v>76.62352941176471</v>
      </c>
      <c r="G42" s="88"/>
      <c r="H42" s="88"/>
      <c r="M42" s="56"/>
      <c r="N42" s="93"/>
    </row>
    <row r="43" spans="1:8" s="1" customFormat="1" ht="12.75">
      <c r="A43" s="26"/>
      <c r="B43" s="43"/>
      <c r="C43" s="43"/>
      <c r="D43" s="26"/>
      <c r="E43" s="26"/>
      <c r="F43" s="26"/>
      <c r="G43" s="26"/>
      <c r="H43" s="26"/>
    </row>
    <row r="44" spans="1:8" s="1" customFormat="1" ht="12.75">
      <c r="A44" s="26" t="s">
        <v>26</v>
      </c>
      <c r="B44" s="43"/>
      <c r="C44" s="43"/>
      <c r="D44" s="26"/>
      <c r="E44" s="26"/>
      <c r="F44" s="26"/>
      <c r="G44" s="26"/>
      <c r="H44" s="26"/>
    </row>
    <row r="45" spans="1:16" s="1" customFormat="1" ht="105" customHeight="1">
      <c r="A45" s="333" t="s">
        <v>448</v>
      </c>
      <c r="B45" s="333"/>
      <c r="C45" s="333"/>
      <c r="D45" s="333"/>
      <c r="E45" s="333"/>
      <c r="F45" s="333"/>
      <c r="G45" s="333"/>
      <c r="H45" s="333"/>
      <c r="M45" s="71"/>
      <c r="P45" s="56"/>
    </row>
    <row r="46" s="1" customFormat="1" ht="12.75"/>
    <row r="47" spans="1:7" s="1" customFormat="1" ht="25.5">
      <c r="A47" s="22" t="s">
        <v>419</v>
      </c>
      <c r="G47" s="1" t="s">
        <v>84</v>
      </c>
    </row>
    <row r="48" s="1" customFormat="1" ht="12.75">
      <c r="A48" s="22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</sheetData>
  <mergeCells count="17">
    <mergeCell ref="N27:O27"/>
    <mergeCell ref="N34:P34"/>
    <mergeCell ref="A45:H45"/>
    <mergeCell ref="M28:O28"/>
    <mergeCell ref="M31:O31"/>
    <mergeCell ref="A29:E29"/>
    <mergeCell ref="A32:E32"/>
    <mergeCell ref="A33:E33"/>
    <mergeCell ref="A36:E36"/>
    <mergeCell ref="A20:A21"/>
    <mergeCell ref="A22:A23"/>
    <mergeCell ref="A25:D25"/>
    <mergeCell ref="A26:E26"/>
    <mergeCell ref="A15:I15"/>
    <mergeCell ref="A18:A19"/>
    <mergeCell ref="A1:E1"/>
    <mergeCell ref="A2:G2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00"/>
  <sheetViews>
    <sheetView workbookViewId="0" topLeftCell="A78">
      <selection activeCell="H85" sqref="H85"/>
    </sheetView>
  </sheetViews>
  <sheetFormatPr defaultColWidth="9.00390625" defaultRowHeight="12.75" outlineLevelRow="1"/>
  <cols>
    <col min="1" max="1" width="32.875" style="1" customWidth="1"/>
    <col min="2" max="2" width="16.75390625" style="1" customWidth="1"/>
    <col min="3" max="3" width="9.75390625" style="1" customWidth="1"/>
    <col min="4" max="4" width="12.125" style="1" customWidth="1"/>
    <col min="5" max="5" width="8.375" style="1" customWidth="1"/>
    <col min="6" max="6" width="8.00390625" style="1" customWidth="1"/>
    <col min="7" max="7" width="7.375" style="1" customWidth="1"/>
    <col min="8" max="8" width="26.125" style="1" customWidth="1"/>
    <col min="9" max="16384" width="9.125" style="1" customWidth="1"/>
  </cols>
  <sheetData>
    <row r="1" spans="1:5" ht="19.5" customHeight="1">
      <c r="A1" s="322" t="s">
        <v>382</v>
      </c>
      <c r="B1" s="322"/>
      <c r="C1" s="322"/>
      <c r="D1" s="322"/>
      <c r="E1" s="322"/>
    </row>
    <row r="2" spans="1:5" ht="39" customHeight="1">
      <c r="A2" s="323" t="s">
        <v>91</v>
      </c>
      <c r="B2" s="323"/>
      <c r="C2" s="323"/>
      <c r="D2" s="323"/>
      <c r="E2" s="323"/>
    </row>
    <row r="3" spans="1:2" ht="24.75" customHeight="1">
      <c r="A3" s="51" t="s">
        <v>384</v>
      </c>
      <c r="B3" s="22"/>
    </row>
    <row r="4" spans="1:6" ht="43.5" customHeight="1">
      <c r="A4" s="44" t="s">
        <v>460</v>
      </c>
      <c r="B4" s="6" t="s">
        <v>461</v>
      </c>
      <c r="C4" s="372" t="s">
        <v>437</v>
      </c>
      <c r="D4" s="373"/>
      <c r="E4" s="373"/>
      <c r="F4" s="374"/>
    </row>
    <row r="5" spans="1:6" ht="28.5" customHeight="1">
      <c r="A5" s="44"/>
      <c r="B5" s="41"/>
      <c r="C5" s="39" t="s">
        <v>43</v>
      </c>
      <c r="D5" s="39" t="s">
        <v>144</v>
      </c>
      <c r="E5" s="39" t="s">
        <v>42</v>
      </c>
      <c r="F5" s="39" t="s">
        <v>44</v>
      </c>
    </row>
    <row r="6" spans="1:6" ht="31.5" customHeight="1">
      <c r="A6" s="78" t="s">
        <v>240</v>
      </c>
      <c r="B6" s="42">
        <v>0.5</v>
      </c>
      <c r="C6" s="42">
        <v>0.38</v>
      </c>
      <c r="D6" s="38">
        <v>1.12</v>
      </c>
      <c r="E6" s="38">
        <v>0.37</v>
      </c>
      <c r="F6" s="38">
        <v>0.81</v>
      </c>
    </row>
    <row r="7" spans="1:9" ht="80.25" customHeight="1">
      <c r="A7" s="78" t="s">
        <v>12</v>
      </c>
      <c r="B7" s="42">
        <v>80.09</v>
      </c>
      <c r="C7" s="42">
        <v>84.71</v>
      </c>
      <c r="D7" s="126">
        <v>90</v>
      </c>
      <c r="E7" s="38">
        <v>91.89</v>
      </c>
      <c r="F7" s="126">
        <v>91.89</v>
      </c>
      <c r="H7" s="22"/>
      <c r="I7" s="22"/>
    </row>
    <row r="8" spans="1:6" ht="76.5" customHeight="1">
      <c r="A8" s="78" t="s">
        <v>13</v>
      </c>
      <c r="B8" s="42">
        <v>0.91</v>
      </c>
      <c r="C8" s="42">
        <v>0.96</v>
      </c>
      <c r="D8" s="126">
        <v>1</v>
      </c>
      <c r="E8" s="38">
        <v>1.03</v>
      </c>
      <c r="F8" s="131">
        <v>1.03</v>
      </c>
    </row>
    <row r="9" spans="1:6" ht="72" customHeight="1">
      <c r="A9" s="78" t="s">
        <v>75</v>
      </c>
      <c r="B9" s="42">
        <v>44.39</v>
      </c>
      <c r="C9" s="42">
        <v>46.61</v>
      </c>
      <c r="D9" s="126">
        <v>49</v>
      </c>
      <c r="E9" s="38">
        <v>50</v>
      </c>
      <c r="F9" s="126">
        <v>50.3</v>
      </c>
    </row>
    <row r="10" spans="1:6" ht="80.25" customHeight="1">
      <c r="A10" s="78" t="s">
        <v>389</v>
      </c>
      <c r="B10" s="42">
        <v>95.82</v>
      </c>
      <c r="C10" s="42">
        <v>96.77</v>
      </c>
      <c r="D10" s="126">
        <v>96.46</v>
      </c>
      <c r="E10" s="38">
        <v>96.65</v>
      </c>
      <c r="F10" s="126">
        <v>96</v>
      </c>
    </row>
    <row r="11" spans="1:8" ht="84.75" customHeight="1">
      <c r="A11" s="78" t="s">
        <v>279</v>
      </c>
      <c r="B11" s="42">
        <v>0</v>
      </c>
      <c r="C11" s="127">
        <v>0</v>
      </c>
      <c r="D11" s="126">
        <v>0</v>
      </c>
      <c r="E11" s="38">
        <v>0.5</v>
      </c>
      <c r="F11" s="126">
        <v>0</v>
      </c>
      <c r="G11" s="238"/>
      <c r="H11" s="47"/>
    </row>
    <row r="12" spans="1:8" ht="27" customHeight="1">
      <c r="A12" s="78" t="s">
        <v>280</v>
      </c>
      <c r="B12" s="129">
        <v>6284.4</v>
      </c>
      <c r="C12" s="375" t="s">
        <v>65</v>
      </c>
      <c r="D12" s="98">
        <v>7867</v>
      </c>
      <c r="E12" s="128">
        <v>9426.6</v>
      </c>
      <c r="F12" s="98">
        <v>3580.2</v>
      </c>
      <c r="H12" s="332"/>
    </row>
    <row r="13" spans="1:8" ht="26.25" customHeight="1">
      <c r="A13" s="78" t="s">
        <v>281</v>
      </c>
      <c r="B13" s="129">
        <v>14328.53</v>
      </c>
      <c r="C13" s="376"/>
      <c r="D13" s="126">
        <v>17949.7</v>
      </c>
      <c r="E13" s="126">
        <v>21492.7</v>
      </c>
      <c r="F13" s="126">
        <v>12530.7</v>
      </c>
      <c r="H13" s="332"/>
    </row>
    <row r="14" spans="1:8" ht="24.75" customHeight="1">
      <c r="A14" s="78" t="s">
        <v>282</v>
      </c>
      <c r="B14" s="128">
        <v>7.4</v>
      </c>
      <c r="C14" s="376"/>
      <c r="D14" s="126">
        <v>8.5</v>
      </c>
      <c r="E14" s="38">
        <v>8.66</v>
      </c>
      <c r="F14" s="126">
        <v>4.2</v>
      </c>
      <c r="H14" s="332"/>
    </row>
    <row r="15" spans="1:8" ht="25.5" customHeight="1">
      <c r="A15" s="78" t="s">
        <v>283</v>
      </c>
      <c r="B15" s="128">
        <v>8245.89</v>
      </c>
      <c r="C15" s="376"/>
      <c r="D15" s="126">
        <v>9361.64</v>
      </c>
      <c r="E15" s="38">
        <v>9541.19</v>
      </c>
      <c r="F15" s="126">
        <v>6823.9</v>
      </c>
      <c r="H15" s="332"/>
    </row>
    <row r="16" spans="1:8" ht="24" customHeight="1">
      <c r="A16" s="78" t="s">
        <v>284</v>
      </c>
      <c r="B16" s="128">
        <v>109.09</v>
      </c>
      <c r="C16" s="376"/>
      <c r="D16" s="126">
        <v>135.8</v>
      </c>
      <c r="E16" s="38">
        <v>163.6</v>
      </c>
      <c r="F16" s="126">
        <v>48.7</v>
      </c>
      <c r="H16" s="332"/>
    </row>
    <row r="17" spans="1:8" ht="22.5" customHeight="1">
      <c r="A17" s="78" t="s">
        <v>285</v>
      </c>
      <c r="B17" s="128">
        <v>2115.47</v>
      </c>
      <c r="C17" s="376"/>
      <c r="D17" s="126">
        <v>2636.15</v>
      </c>
      <c r="E17" s="38">
        <v>3173.3</v>
      </c>
      <c r="F17" s="126">
        <v>1082.7</v>
      </c>
      <c r="H17" s="332"/>
    </row>
    <row r="18" spans="1:8" ht="26.25" customHeight="1">
      <c r="A18" s="78" t="s">
        <v>286</v>
      </c>
      <c r="B18" s="127">
        <v>1614.57</v>
      </c>
      <c r="C18" s="376"/>
      <c r="D18" s="126">
        <v>2155.96</v>
      </c>
      <c r="E18" s="38">
        <v>2421.9</v>
      </c>
      <c r="F18" s="126">
        <v>2386.5</v>
      </c>
      <c r="H18" s="332"/>
    </row>
    <row r="19" spans="1:8" ht="25.5" customHeight="1">
      <c r="A19" s="78" t="s">
        <v>287</v>
      </c>
      <c r="B19" s="127">
        <v>2386.97</v>
      </c>
      <c r="C19" s="376"/>
      <c r="D19" s="126">
        <v>3188.66</v>
      </c>
      <c r="E19" s="38">
        <v>3580.3</v>
      </c>
      <c r="F19" s="126">
        <v>9546.1</v>
      </c>
      <c r="H19" s="332"/>
    </row>
    <row r="20" spans="1:6" ht="80.25" customHeight="1">
      <c r="A20" s="78" t="s">
        <v>288</v>
      </c>
      <c r="B20" s="127">
        <v>100</v>
      </c>
      <c r="C20" s="377"/>
      <c r="D20" s="126">
        <v>100</v>
      </c>
      <c r="E20" s="38">
        <v>100</v>
      </c>
      <c r="F20" s="126">
        <v>100</v>
      </c>
    </row>
    <row r="21" spans="1:8" ht="78.75" customHeight="1">
      <c r="A21" s="78" t="s">
        <v>390</v>
      </c>
      <c r="B21" s="42">
        <v>0.97</v>
      </c>
      <c r="C21" s="127">
        <v>17.22</v>
      </c>
      <c r="D21" s="126">
        <v>27.8</v>
      </c>
      <c r="E21" s="126">
        <v>30.02</v>
      </c>
      <c r="F21" s="126">
        <v>65.3</v>
      </c>
      <c r="H21" s="47"/>
    </row>
    <row r="22" spans="1:8" ht="71.25" customHeight="1">
      <c r="A22" s="78" t="s">
        <v>391</v>
      </c>
      <c r="B22" s="42">
        <v>4.93</v>
      </c>
      <c r="C22" s="127">
        <v>38.16</v>
      </c>
      <c r="D22" s="126">
        <v>39.41</v>
      </c>
      <c r="E22" s="126">
        <v>43.41</v>
      </c>
      <c r="F22" s="126">
        <v>71.9</v>
      </c>
      <c r="H22" s="47"/>
    </row>
    <row r="23" spans="1:6" ht="92.25" customHeight="1">
      <c r="A23" s="78" t="s">
        <v>50</v>
      </c>
      <c r="B23" s="42">
        <v>100</v>
      </c>
      <c r="C23" s="130" t="s">
        <v>65</v>
      </c>
      <c r="D23" s="126">
        <v>100</v>
      </c>
      <c r="E23" s="126">
        <v>100</v>
      </c>
      <c r="F23" s="126">
        <v>100</v>
      </c>
    </row>
    <row r="24" spans="1:7" ht="51" customHeight="1">
      <c r="A24" s="78" t="s">
        <v>14</v>
      </c>
      <c r="B24" s="42">
        <v>0.93</v>
      </c>
      <c r="C24" s="378" t="s">
        <v>25</v>
      </c>
      <c r="D24" s="131">
        <v>0.97</v>
      </c>
      <c r="E24" s="131">
        <v>0.95</v>
      </c>
      <c r="F24" s="131">
        <v>0.95</v>
      </c>
      <c r="G24" s="142"/>
    </row>
    <row r="25" spans="1:6" ht="48" customHeight="1">
      <c r="A25" s="78" t="s">
        <v>15</v>
      </c>
      <c r="B25" s="42">
        <v>0.98</v>
      </c>
      <c r="C25" s="379"/>
      <c r="D25" s="126">
        <v>1.21</v>
      </c>
      <c r="E25" s="126">
        <v>1.24</v>
      </c>
      <c r="F25" s="126">
        <v>1.24</v>
      </c>
    </row>
    <row r="26" spans="1:6" ht="53.25" customHeight="1">
      <c r="A26" s="78" t="s">
        <v>16</v>
      </c>
      <c r="B26" s="42">
        <v>53.1</v>
      </c>
      <c r="C26" s="379"/>
      <c r="D26" s="126">
        <v>103.6</v>
      </c>
      <c r="E26" s="126">
        <v>106.7</v>
      </c>
      <c r="F26" s="126">
        <v>4.6</v>
      </c>
    </row>
    <row r="27" spans="1:8" ht="58.5" customHeight="1">
      <c r="A27" s="78" t="s">
        <v>17</v>
      </c>
      <c r="B27" s="42">
        <v>49.6</v>
      </c>
      <c r="C27" s="380"/>
      <c r="D27" s="126">
        <v>100.5</v>
      </c>
      <c r="E27" s="126">
        <v>101.6</v>
      </c>
      <c r="F27" s="126">
        <v>55.76</v>
      </c>
      <c r="G27" s="43"/>
      <c r="H27" s="43"/>
    </row>
    <row r="28" spans="1:8" ht="43.5" customHeight="1">
      <c r="A28" s="78" t="s">
        <v>19</v>
      </c>
      <c r="B28" s="42">
        <v>9.66</v>
      </c>
      <c r="C28" s="130">
        <v>11.3</v>
      </c>
      <c r="D28" s="126">
        <v>8</v>
      </c>
      <c r="E28" s="126">
        <v>12.8</v>
      </c>
      <c r="F28" s="126">
        <v>0</v>
      </c>
      <c r="G28" s="43"/>
      <c r="H28" s="43"/>
    </row>
    <row r="29" spans="1:8" ht="56.25" customHeight="1">
      <c r="A29" s="78" t="s">
        <v>20</v>
      </c>
      <c r="B29" s="42">
        <v>562.7</v>
      </c>
      <c r="C29" s="130">
        <v>670.5</v>
      </c>
      <c r="D29" s="126">
        <v>0</v>
      </c>
      <c r="E29" s="126">
        <v>690.3</v>
      </c>
      <c r="F29" s="126">
        <v>0</v>
      </c>
      <c r="G29" s="43"/>
      <c r="H29" s="43"/>
    </row>
    <row r="30" spans="1:8" ht="60.75" customHeight="1">
      <c r="A30" s="78" t="s">
        <v>21</v>
      </c>
      <c r="B30" s="127">
        <v>0</v>
      </c>
      <c r="C30" s="130">
        <v>0</v>
      </c>
      <c r="D30" s="126">
        <v>17</v>
      </c>
      <c r="E30" s="126">
        <v>100</v>
      </c>
      <c r="F30" s="126">
        <v>78.9</v>
      </c>
      <c r="G30" s="430"/>
      <c r="H30" s="430"/>
    </row>
    <row r="31" spans="1:8" ht="44.25" customHeight="1">
      <c r="A31" s="78" t="s">
        <v>22</v>
      </c>
      <c r="B31" s="127">
        <v>0</v>
      </c>
      <c r="C31" s="130">
        <v>0</v>
      </c>
      <c r="D31" s="126">
        <v>0</v>
      </c>
      <c r="E31" s="126">
        <v>2</v>
      </c>
      <c r="F31" s="126">
        <v>0</v>
      </c>
      <c r="G31" s="431"/>
      <c r="H31" s="43"/>
    </row>
    <row r="32" spans="1:8" ht="46.5" customHeight="1">
      <c r="A32" s="78" t="s">
        <v>23</v>
      </c>
      <c r="B32" s="127">
        <v>0</v>
      </c>
      <c r="C32" s="130">
        <v>0</v>
      </c>
      <c r="D32" s="126">
        <v>0</v>
      </c>
      <c r="E32" s="126">
        <v>0.1</v>
      </c>
      <c r="F32" s="126">
        <v>0</v>
      </c>
      <c r="G32" s="431"/>
      <c r="H32" s="43"/>
    </row>
    <row r="33" spans="1:8" ht="73.5" customHeight="1">
      <c r="A33" s="78" t="s">
        <v>24</v>
      </c>
      <c r="B33" s="127">
        <v>0</v>
      </c>
      <c r="C33" s="130">
        <v>0</v>
      </c>
      <c r="D33" s="126">
        <v>100</v>
      </c>
      <c r="E33" s="126">
        <v>100</v>
      </c>
      <c r="F33" s="126">
        <v>100</v>
      </c>
      <c r="G33" s="43"/>
      <c r="H33" s="43"/>
    </row>
    <row r="34" spans="1:7" ht="59.25" customHeight="1" hidden="1" outlineLevel="1">
      <c r="A34" s="134" t="s">
        <v>18</v>
      </c>
      <c r="B34" s="135">
        <v>0</v>
      </c>
      <c r="C34" s="136">
        <v>0</v>
      </c>
      <c r="D34" s="137">
        <v>0</v>
      </c>
      <c r="E34" s="137"/>
      <c r="F34" s="126"/>
      <c r="G34" s="138"/>
    </row>
    <row r="35" spans="1:6" ht="90.75" customHeight="1" collapsed="1">
      <c r="A35" s="78" t="s">
        <v>230</v>
      </c>
      <c r="B35" s="127">
        <v>98.82</v>
      </c>
      <c r="C35" s="378" t="s">
        <v>25</v>
      </c>
      <c r="D35" s="126">
        <v>99</v>
      </c>
      <c r="E35" s="126">
        <v>99</v>
      </c>
      <c r="F35" s="126">
        <v>99</v>
      </c>
    </row>
    <row r="36" spans="1:6" ht="85.5" customHeight="1">
      <c r="A36" s="78" t="s">
        <v>229</v>
      </c>
      <c r="B36" s="127">
        <v>16.5</v>
      </c>
      <c r="C36" s="379"/>
      <c r="D36" s="126">
        <v>35.78</v>
      </c>
      <c r="E36" s="126">
        <v>40.66</v>
      </c>
      <c r="F36" s="126">
        <v>41.03</v>
      </c>
    </row>
    <row r="37" spans="1:6" ht="90" customHeight="1">
      <c r="A37" s="78" t="s">
        <v>386</v>
      </c>
      <c r="B37" s="127">
        <v>83.5</v>
      </c>
      <c r="C37" s="379"/>
      <c r="D37" s="126">
        <v>87.35</v>
      </c>
      <c r="E37" s="126">
        <v>90.25</v>
      </c>
      <c r="F37" s="126">
        <v>91.01</v>
      </c>
    </row>
    <row r="38" spans="1:6" ht="102.75" customHeight="1">
      <c r="A38" s="78" t="s">
        <v>387</v>
      </c>
      <c r="B38" s="127">
        <v>1.5</v>
      </c>
      <c r="C38" s="379"/>
      <c r="D38" s="126">
        <v>3.1</v>
      </c>
      <c r="E38" s="126">
        <v>3.1</v>
      </c>
      <c r="F38" s="126">
        <v>3.1</v>
      </c>
    </row>
    <row r="39" spans="1:6" ht="78" customHeight="1">
      <c r="A39" s="78" t="s">
        <v>397</v>
      </c>
      <c r="B39" s="127">
        <v>2.5</v>
      </c>
      <c r="C39" s="380"/>
      <c r="D39" s="126">
        <v>2.8</v>
      </c>
      <c r="E39" s="126">
        <v>2.9</v>
      </c>
      <c r="F39" s="126">
        <v>5.9</v>
      </c>
    </row>
    <row r="40" spans="1:6" ht="114.75" customHeight="1">
      <c r="A40" s="133" t="s">
        <v>488</v>
      </c>
      <c r="B40" s="127">
        <v>100</v>
      </c>
      <c r="C40" s="130">
        <v>100</v>
      </c>
      <c r="D40" s="126">
        <v>100</v>
      </c>
      <c r="E40" s="126">
        <v>100</v>
      </c>
      <c r="F40" s="126">
        <v>100</v>
      </c>
    </row>
    <row r="41" spans="1:6" ht="107.25" customHeight="1">
      <c r="A41" s="133" t="s">
        <v>489</v>
      </c>
      <c r="B41" s="127">
        <v>3.1</v>
      </c>
      <c r="C41" s="130"/>
      <c r="D41" s="126">
        <v>34</v>
      </c>
      <c r="E41" s="126">
        <v>39.7</v>
      </c>
      <c r="F41" s="126">
        <v>41.2</v>
      </c>
    </row>
    <row r="42" spans="1:6" ht="100.5" customHeight="1">
      <c r="A42" s="133" t="s">
        <v>490</v>
      </c>
      <c r="B42" s="127">
        <v>28.6</v>
      </c>
      <c r="C42" s="130"/>
      <c r="D42" s="126">
        <v>36.6</v>
      </c>
      <c r="E42" s="126">
        <v>43.8</v>
      </c>
      <c r="F42" s="126">
        <v>48.5</v>
      </c>
    </row>
    <row r="43" spans="1:6" ht="120.75" customHeight="1">
      <c r="A43" s="133" t="s">
        <v>223</v>
      </c>
      <c r="B43" s="127">
        <v>88.8</v>
      </c>
      <c r="C43" s="130"/>
      <c r="D43" s="126">
        <v>90.8</v>
      </c>
      <c r="E43" s="126">
        <v>95.7</v>
      </c>
      <c r="F43" s="126">
        <v>92.2</v>
      </c>
    </row>
    <row r="44" spans="1:6" ht="119.25" customHeight="1">
      <c r="A44" s="133" t="s">
        <v>239</v>
      </c>
      <c r="B44" s="127">
        <v>29.3</v>
      </c>
      <c r="C44" s="130"/>
      <c r="D44" s="126">
        <v>36.6</v>
      </c>
      <c r="E44" s="126">
        <v>34</v>
      </c>
      <c r="F44" s="126">
        <v>83.7</v>
      </c>
    </row>
    <row r="45" spans="1:9" ht="42.75" customHeight="1">
      <c r="A45" s="133" t="s">
        <v>224</v>
      </c>
      <c r="B45" s="127">
        <v>0</v>
      </c>
      <c r="C45" s="130">
        <v>0</v>
      </c>
      <c r="D45" s="126">
        <v>0</v>
      </c>
      <c r="E45" s="126">
        <v>15</v>
      </c>
      <c r="F45" s="126">
        <v>0</v>
      </c>
      <c r="G45" s="234"/>
      <c r="H45" s="381"/>
      <c r="I45" s="382"/>
    </row>
    <row r="46" spans="1:9" ht="42" customHeight="1">
      <c r="A46" s="133" t="s">
        <v>225</v>
      </c>
      <c r="B46" s="127">
        <v>0.15</v>
      </c>
      <c r="C46" s="130">
        <v>0</v>
      </c>
      <c r="D46" s="126">
        <v>0</v>
      </c>
      <c r="E46" s="126">
        <v>0.8</v>
      </c>
      <c r="F46" s="126">
        <v>0</v>
      </c>
      <c r="G46" s="234"/>
      <c r="H46" s="381"/>
      <c r="I46" s="382"/>
    </row>
    <row r="47" spans="1:7" ht="123" customHeight="1">
      <c r="A47" s="133" t="s">
        <v>226</v>
      </c>
      <c r="B47" s="127">
        <v>0</v>
      </c>
      <c r="C47" s="130">
        <v>0</v>
      </c>
      <c r="D47" s="126">
        <v>50</v>
      </c>
      <c r="E47" s="126">
        <v>100</v>
      </c>
      <c r="F47" s="126">
        <v>73.26</v>
      </c>
      <c r="G47" s="143"/>
    </row>
    <row r="48" spans="1:7" ht="77.25" customHeight="1">
      <c r="A48" s="133" t="s">
        <v>398</v>
      </c>
      <c r="B48" s="127">
        <v>0</v>
      </c>
      <c r="C48" s="130">
        <v>0</v>
      </c>
      <c r="D48" s="126">
        <v>63</v>
      </c>
      <c r="E48" s="126">
        <v>100</v>
      </c>
      <c r="F48" s="126">
        <v>55.9</v>
      </c>
      <c r="G48" s="143"/>
    </row>
    <row r="49" spans="1:7" ht="94.5" customHeight="1">
      <c r="A49" s="133" t="s">
        <v>399</v>
      </c>
      <c r="B49" s="127">
        <v>0</v>
      </c>
      <c r="C49" s="130">
        <v>0</v>
      </c>
      <c r="D49" s="126">
        <v>31.2</v>
      </c>
      <c r="E49" s="126">
        <v>79</v>
      </c>
      <c r="F49" s="126">
        <v>41.29</v>
      </c>
      <c r="G49" s="143"/>
    </row>
    <row r="50" spans="1:7" ht="115.5" customHeight="1" hidden="1" outlineLevel="1">
      <c r="A50" s="139" t="s">
        <v>244</v>
      </c>
      <c r="B50" s="135">
        <v>0</v>
      </c>
      <c r="C50" s="135">
        <v>0</v>
      </c>
      <c r="D50" s="140">
        <v>0</v>
      </c>
      <c r="E50" s="140"/>
      <c r="F50" s="131"/>
      <c r="G50" s="143"/>
    </row>
    <row r="51" spans="1:7" ht="120" customHeight="1" hidden="1" outlineLevel="1">
      <c r="A51" s="139" t="s">
        <v>441</v>
      </c>
      <c r="B51" s="141">
        <v>0</v>
      </c>
      <c r="C51" s="135">
        <v>0</v>
      </c>
      <c r="D51" s="137">
        <v>0</v>
      </c>
      <c r="E51" s="137"/>
      <c r="F51" s="126"/>
      <c r="G51" s="143"/>
    </row>
    <row r="52" spans="1:7" ht="27" customHeight="1" collapsed="1">
      <c r="A52" s="78" t="s">
        <v>400</v>
      </c>
      <c r="B52" s="42">
        <v>0</v>
      </c>
      <c r="C52" s="42">
        <v>0</v>
      </c>
      <c r="D52" s="126">
        <v>16.88</v>
      </c>
      <c r="E52" s="126">
        <v>94</v>
      </c>
      <c r="F52" s="126">
        <v>63.29</v>
      </c>
      <c r="G52" s="143"/>
    </row>
    <row r="53" spans="1:7" ht="48.75" customHeight="1">
      <c r="A53" s="78" t="s">
        <v>8</v>
      </c>
      <c r="B53" s="42">
        <v>0</v>
      </c>
      <c r="C53" s="42">
        <v>0</v>
      </c>
      <c r="D53" s="126">
        <v>57</v>
      </c>
      <c r="E53" s="126">
        <v>1450</v>
      </c>
      <c r="F53" s="132">
        <v>3358</v>
      </c>
      <c r="G53" s="143"/>
    </row>
    <row r="54" spans="1:7" ht="45" customHeight="1">
      <c r="A54" s="78" t="s">
        <v>9</v>
      </c>
      <c r="B54" s="42">
        <v>0</v>
      </c>
      <c r="C54" s="42">
        <v>0</v>
      </c>
      <c r="D54" s="38">
        <v>1682</v>
      </c>
      <c r="E54" s="38">
        <v>44350</v>
      </c>
      <c r="F54" s="235">
        <v>102754.8</v>
      </c>
      <c r="G54" s="143"/>
    </row>
    <row r="55" spans="1:4" ht="102" customHeight="1" hidden="1" outlineLevel="1">
      <c r="A55" s="78" t="s">
        <v>146</v>
      </c>
      <c r="B55" s="42">
        <v>0</v>
      </c>
      <c r="C55" s="42">
        <v>0</v>
      </c>
      <c r="D55" s="42"/>
    </row>
    <row r="56" spans="1:4" ht="48" customHeight="1" hidden="1" outlineLevel="1">
      <c r="A56" s="78" t="s">
        <v>149</v>
      </c>
      <c r="B56" s="42">
        <v>0</v>
      </c>
      <c r="C56" s="42">
        <v>0</v>
      </c>
      <c r="D56" s="42"/>
    </row>
    <row r="57" spans="1:4" ht="48.75" customHeight="1" hidden="1" outlineLevel="1">
      <c r="A57" s="78" t="s">
        <v>147</v>
      </c>
      <c r="B57" s="42">
        <v>0</v>
      </c>
      <c r="C57" s="42">
        <v>0</v>
      </c>
      <c r="D57" s="38"/>
    </row>
    <row r="58" spans="1:4" ht="47.25" customHeight="1" hidden="1" outlineLevel="1">
      <c r="A58" s="78" t="s">
        <v>148</v>
      </c>
      <c r="B58" s="42">
        <v>0</v>
      </c>
      <c r="C58" s="42">
        <v>0</v>
      </c>
      <c r="D58" s="38"/>
    </row>
    <row r="59" spans="1:4" ht="18" customHeight="1" hidden="1" outlineLevel="1">
      <c r="A59" s="17"/>
      <c r="B59" s="17"/>
      <c r="C59" s="17"/>
      <c r="D59" s="17"/>
    </row>
    <row r="60" spans="1:8" ht="32.25" customHeight="1" collapsed="1">
      <c r="A60" s="309" t="s">
        <v>102</v>
      </c>
      <c r="B60" s="309"/>
      <c r="C60" s="309"/>
      <c r="D60" s="309"/>
      <c r="H60" s="144"/>
    </row>
    <row r="61" ht="12.75">
      <c r="A61" s="2"/>
    </row>
    <row r="62" spans="1:5" ht="28.5" customHeight="1">
      <c r="A62" s="5" t="s">
        <v>260</v>
      </c>
      <c r="B62" s="5" t="s">
        <v>261</v>
      </c>
      <c r="C62" s="5" t="s">
        <v>262</v>
      </c>
      <c r="D62" s="5" t="s">
        <v>259</v>
      </c>
      <c r="E62" s="21" t="s">
        <v>375</v>
      </c>
    </row>
    <row r="63" spans="1:5" ht="23.25" customHeight="1">
      <c r="A63" s="320" t="s">
        <v>27</v>
      </c>
      <c r="B63" s="3" t="s">
        <v>150</v>
      </c>
      <c r="C63" s="4">
        <v>1</v>
      </c>
      <c r="D63" s="4">
        <v>5</v>
      </c>
      <c r="E63" s="19">
        <v>5</v>
      </c>
    </row>
    <row r="64" spans="1:5" ht="54" customHeight="1">
      <c r="A64" s="321"/>
      <c r="B64" s="3" t="s">
        <v>151</v>
      </c>
      <c r="C64" s="4">
        <v>0</v>
      </c>
      <c r="D64" s="4"/>
      <c r="E64" s="19"/>
    </row>
    <row r="65" spans="1:5" ht="24" customHeight="1">
      <c r="A65" s="320" t="s">
        <v>28</v>
      </c>
      <c r="B65" s="3" t="s">
        <v>150</v>
      </c>
      <c r="C65" s="4">
        <v>1</v>
      </c>
      <c r="D65" s="4">
        <v>5</v>
      </c>
      <c r="E65" s="19">
        <v>5</v>
      </c>
    </row>
    <row r="66" spans="1:5" ht="40.5" customHeight="1">
      <c r="A66" s="321"/>
      <c r="B66" s="3" t="s">
        <v>151</v>
      </c>
      <c r="C66" s="4">
        <v>0</v>
      </c>
      <c r="D66" s="4"/>
      <c r="E66" s="19"/>
    </row>
    <row r="67" spans="1:5" ht="25.5" customHeight="1">
      <c r="A67" s="320" t="s">
        <v>29</v>
      </c>
      <c r="B67" s="3" t="s">
        <v>150</v>
      </c>
      <c r="C67" s="4">
        <v>1</v>
      </c>
      <c r="D67" s="4">
        <v>5</v>
      </c>
      <c r="E67" s="19">
        <v>5</v>
      </c>
    </row>
    <row r="68" spans="1:5" ht="64.5" customHeight="1">
      <c r="A68" s="321"/>
      <c r="B68" s="3" t="s">
        <v>151</v>
      </c>
      <c r="C68" s="4">
        <v>0</v>
      </c>
      <c r="D68" s="4"/>
      <c r="E68" s="18"/>
    </row>
    <row r="69" spans="1:5" ht="66" customHeight="1">
      <c r="A69" s="53" t="s">
        <v>30</v>
      </c>
      <c r="B69" s="25" t="s">
        <v>31</v>
      </c>
      <c r="C69" s="4" t="s">
        <v>480</v>
      </c>
      <c r="D69" s="4">
        <v>20</v>
      </c>
      <c r="E69" s="27">
        <f>D69*0.628</f>
        <v>12.56</v>
      </c>
    </row>
    <row r="70" spans="1:5" ht="17.25" customHeight="1">
      <c r="A70" s="325" t="s">
        <v>153</v>
      </c>
      <c r="B70" s="326"/>
      <c r="C70" s="326"/>
      <c r="D70" s="326"/>
      <c r="E70" s="326"/>
    </row>
    <row r="71" spans="1:5" ht="24" customHeight="1">
      <c r="A71" s="296" t="s">
        <v>154</v>
      </c>
      <c r="B71" s="297"/>
      <c r="C71" s="297"/>
      <c r="D71" s="298"/>
      <c r="E71" s="17"/>
    </row>
    <row r="72" spans="1:10" ht="57.75" customHeight="1">
      <c r="A72" s="53" t="s">
        <v>32</v>
      </c>
      <c r="B72" s="82" t="s">
        <v>33</v>
      </c>
      <c r="C72" s="4" t="s">
        <v>481</v>
      </c>
      <c r="D72" s="4">
        <v>10</v>
      </c>
      <c r="E72" s="27">
        <f>D72*0.6985</f>
        <v>6.985</v>
      </c>
      <c r="G72" s="154"/>
      <c r="H72" s="47"/>
      <c r="I72" s="47"/>
      <c r="J72" s="47"/>
    </row>
    <row r="73" spans="1:11" ht="78">
      <c r="A73" s="53" t="s">
        <v>34</v>
      </c>
      <c r="B73" s="82" t="s">
        <v>35</v>
      </c>
      <c r="C73" s="4" t="s">
        <v>496</v>
      </c>
      <c r="D73" s="4">
        <v>5</v>
      </c>
      <c r="E73" s="243">
        <f>D73*0.875</f>
        <v>4.375</v>
      </c>
      <c r="G73" s="240"/>
      <c r="H73" s="242"/>
      <c r="I73" s="241"/>
      <c r="J73" s="241"/>
      <c r="K73" s="241"/>
    </row>
    <row r="74" spans="1:4" ht="24.75" customHeight="1">
      <c r="A74" s="296" t="s">
        <v>36</v>
      </c>
      <c r="B74" s="297"/>
      <c r="C74" s="297"/>
      <c r="D74" s="298"/>
    </row>
    <row r="75" spans="1:10" ht="78" customHeight="1">
      <c r="A75" s="53" t="s">
        <v>37</v>
      </c>
      <c r="B75" s="82" t="s">
        <v>35</v>
      </c>
      <c r="C75" s="4" t="s">
        <v>482</v>
      </c>
      <c r="D75" s="4">
        <v>5</v>
      </c>
      <c r="E75" s="27">
        <f>D75*0.769</f>
        <v>3.845</v>
      </c>
      <c r="G75" s="154"/>
      <c r="H75" s="47"/>
      <c r="I75" s="47"/>
      <c r="J75" s="47"/>
    </row>
    <row r="76" spans="1:8" ht="78">
      <c r="A76" s="53" t="s">
        <v>38</v>
      </c>
      <c r="B76" s="82" t="s">
        <v>35</v>
      </c>
      <c r="C76" s="4" t="s">
        <v>496</v>
      </c>
      <c r="D76" s="4">
        <v>5</v>
      </c>
      <c r="E76" s="243">
        <f>D76*0.875</f>
        <v>4.375</v>
      </c>
      <c r="G76" s="240"/>
      <c r="H76" s="242"/>
    </row>
    <row r="77" spans="1:5" ht="24.75" customHeight="1">
      <c r="A77" s="353" t="s">
        <v>39</v>
      </c>
      <c r="B77" s="354"/>
      <c r="C77" s="354"/>
      <c r="D77" s="354"/>
      <c r="E77" s="354"/>
    </row>
    <row r="78" spans="1:4" ht="26.25" customHeight="1">
      <c r="A78" s="296" t="s">
        <v>40</v>
      </c>
      <c r="B78" s="297"/>
      <c r="C78" s="297"/>
      <c r="D78" s="298"/>
    </row>
    <row r="79" spans="1:8" ht="58.5" customHeight="1">
      <c r="A79" s="3" t="s">
        <v>41</v>
      </c>
      <c r="B79" s="25" t="s">
        <v>348</v>
      </c>
      <c r="C79" s="4" t="s">
        <v>290</v>
      </c>
      <c r="D79" s="4">
        <v>5</v>
      </c>
      <c r="E79" s="27">
        <f>D79*0.718</f>
        <v>3.59</v>
      </c>
      <c r="G79" s="95"/>
      <c r="H79" s="144"/>
    </row>
    <row r="80" spans="1:7" ht="57.75" customHeight="1">
      <c r="A80" s="3" t="s">
        <v>349</v>
      </c>
      <c r="B80" s="25" t="s">
        <v>348</v>
      </c>
      <c r="C80" s="4" t="s">
        <v>483</v>
      </c>
      <c r="D80" s="4">
        <v>5</v>
      </c>
      <c r="E80" s="27">
        <f>D80*0.944</f>
        <v>4.72</v>
      </c>
      <c r="G80" s="95"/>
    </row>
    <row r="81" spans="1:5" ht="27" customHeight="1">
      <c r="A81" s="296" t="s">
        <v>350</v>
      </c>
      <c r="B81" s="297"/>
      <c r="C81" s="297"/>
      <c r="D81" s="298"/>
      <c r="E81" s="17"/>
    </row>
    <row r="82" spans="1:5" ht="60">
      <c r="A82" s="53" t="s">
        <v>351</v>
      </c>
      <c r="B82" s="82" t="s">
        <v>348</v>
      </c>
      <c r="C82" s="4" t="s">
        <v>484</v>
      </c>
      <c r="D82" s="4">
        <v>10</v>
      </c>
      <c r="E82" s="27">
        <f>D82*0.951</f>
        <v>9.51</v>
      </c>
    </row>
    <row r="83" spans="1:5" ht="60">
      <c r="A83" s="53" t="s">
        <v>352</v>
      </c>
      <c r="B83" s="82" t="s">
        <v>348</v>
      </c>
      <c r="C83" s="4" t="s">
        <v>152</v>
      </c>
      <c r="D83" s="4"/>
      <c r="E83" s="33" t="s">
        <v>372</v>
      </c>
    </row>
    <row r="84" spans="1:7" ht="60">
      <c r="A84" s="53" t="s">
        <v>353</v>
      </c>
      <c r="B84" s="82" t="s">
        <v>348</v>
      </c>
      <c r="C84" s="4" t="s">
        <v>485</v>
      </c>
      <c r="D84" s="4">
        <v>5</v>
      </c>
      <c r="E84" s="27">
        <f>D84*0.41</f>
        <v>2.05</v>
      </c>
      <c r="G84" s="239"/>
    </row>
    <row r="85" spans="1:7" ht="60">
      <c r="A85" s="53" t="s">
        <v>354</v>
      </c>
      <c r="B85" s="82" t="s">
        <v>348</v>
      </c>
      <c r="C85" s="4" t="s">
        <v>152</v>
      </c>
      <c r="D85" s="4"/>
      <c r="E85" s="33" t="s">
        <v>372</v>
      </c>
      <c r="G85" s="22"/>
    </row>
    <row r="86" spans="1:10" ht="39">
      <c r="A86" s="53" t="s">
        <v>355</v>
      </c>
      <c r="B86" s="82" t="s">
        <v>356</v>
      </c>
      <c r="C86" s="4" t="s">
        <v>245</v>
      </c>
      <c r="D86" s="4">
        <v>0</v>
      </c>
      <c r="E86" s="33" t="s">
        <v>372</v>
      </c>
      <c r="F86" s="37"/>
      <c r="G86" s="47"/>
      <c r="H86" s="47"/>
      <c r="I86" s="64"/>
      <c r="J86" s="145"/>
    </row>
    <row r="87" spans="1:6" ht="12.75">
      <c r="A87" s="24" t="s">
        <v>374</v>
      </c>
      <c r="B87" s="25"/>
      <c r="C87" s="4"/>
      <c r="D87" s="20">
        <f>D86+D85+D84+D83+D82+D80+D79+D76+D75+D73+D72+D69+D67+D65+D63</f>
        <v>85</v>
      </c>
      <c r="E87" s="32">
        <f>E82+E80+E79+E75+E72+E69+E67+E65+E63+E84+E76+E73</f>
        <v>67.00999999999999</v>
      </c>
      <c r="F87" s="93">
        <f>E87/D87*100</f>
        <v>78.83529411764705</v>
      </c>
    </row>
    <row r="88" spans="1:5" ht="12.75">
      <c r="A88" s="66"/>
      <c r="B88" s="48"/>
      <c r="C88" s="49"/>
      <c r="D88" s="26"/>
      <c r="E88" s="50"/>
    </row>
    <row r="89" spans="1:4" ht="12.75" customHeight="1">
      <c r="A89" s="288" t="s">
        <v>26</v>
      </c>
      <c r="B89" s="288"/>
      <c r="C89" s="288"/>
      <c r="D89" s="288"/>
    </row>
    <row r="90" spans="1:7" ht="84" customHeight="1">
      <c r="A90" s="315" t="s">
        <v>93</v>
      </c>
      <c r="B90" s="315"/>
      <c r="C90" s="315"/>
      <c r="D90" s="315"/>
      <c r="E90" s="315"/>
      <c r="F90" s="315"/>
      <c r="G90" s="71"/>
    </row>
    <row r="91" ht="12.75">
      <c r="A91" s="2"/>
    </row>
    <row r="92" ht="12.75">
      <c r="A92" s="2"/>
    </row>
    <row r="93" spans="1:5" ht="25.5">
      <c r="A93" s="22" t="s">
        <v>486</v>
      </c>
      <c r="E93" s="1" t="s">
        <v>487</v>
      </c>
    </row>
    <row r="95" ht="12.75">
      <c r="F95" s="95"/>
    </row>
    <row r="96" ht="17.25" customHeight="1"/>
    <row r="98" ht="12.75" customHeight="1"/>
    <row r="99" spans="1:4" ht="26.25" customHeight="1">
      <c r="A99" s="280"/>
      <c r="B99" s="280"/>
      <c r="C99" s="280"/>
      <c r="D99" s="280"/>
    </row>
    <row r="100" spans="1:4" ht="27" customHeight="1">
      <c r="A100" s="280"/>
      <c r="B100" s="280"/>
      <c r="C100" s="280"/>
      <c r="D100" s="280"/>
    </row>
  </sheetData>
  <mergeCells count="26">
    <mergeCell ref="H45:I45"/>
    <mergeCell ref="H46:I46"/>
    <mergeCell ref="H12:H13"/>
    <mergeCell ref="H14:H15"/>
    <mergeCell ref="H16:H17"/>
    <mergeCell ref="H18:H19"/>
    <mergeCell ref="A100:D100"/>
    <mergeCell ref="A99:D99"/>
    <mergeCell ref="A90:F90"/>
    <mergeCell ref="A63:A64"/>
    <mergeCell ref="A89:D89"/>
    <mergeCell ref="A77:E77"/>
    <mergeCell ref="A65:A66"/>
    <mergeCell ref="A74:D74"/>
    <mergeCell ref="A78:D78"/>
    <mergeCell ref="A81:D81"/>
    <mergeCell ref="A1:E1"/>
    <mergeCell ref="A2:E2"/>
    <mergeCell ref="A67:A68"/>
    <mergeCell ref="A71:D71"/>
    <mergeCell ref="A70:E70"/>
    <mergeCell ref="A60:D60"/>
    <mergeCell ref="C4:F4"/>
    <mergeCell ref="C12:C20"/>
    <mergeCell ref="C24:C27"/>
    <mergeCell ref="C35:C39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P54"/>
  <sheetViews>
    <sheetView zoomScale="120" zoomScaleNormal="120" workbookViewId="0" topLeftCell="A40">
      <selection activeCell="J54" sqref="J54"/>
    </sheetView>
  </sheetViews>
  <sheetFormatPr defaultColWidth="9.00390625" defaultRowHeight="12.75"/>
  <cols>
    <col min="1" max="1" width="35.875" style="1" customWidth="1"/>
    <col min="2" max="2" width="17.625" style="1" customWidth="1"/>
    <col min="3" max="3" width="7.625" style="1" customWidth="1"/>
    <col min="4" max="4" width="8.125" style="1" customWidth="1"/>
    <col min="5" max="5" width="7.875" style="1" customWidth="1"/>
    <col min="6" max="6" width="7.75390625" style="1" customWidth="1"/>
    <col min="7" max="7" width="9.875" style="1" customWidth="1"/>
    <col min="8" max="8" width="6.875" style="1" customWidth="1"/>
    <col min="9" max="16384" width="9.125" style="1" customWidth="1"/>
  </cols>
  <sheetData>
    <row r="1" spans="1:7" ht="12.75" customHeight="1">
      <c r="A1" s="306" t="s">
        <v>382</v>
      </c>
      <c r="B1" s="306"/>
      <c r="C1" s="306"/>
      <c r="D1" s="306"/>
      <c r="E1" s="306"/>
      <c r="F1" s="306"/>
      <c r="G1" s="306"/>
    </row>
    <row r="2" spans="1:7" ht="31.5" customHeight="1">
      <c r="A2" s="281" t="s">
        <v>300</v>
      </c>
      <c r="B2" s="281"/>
      <c r="C2" s="281"/>
      <c r="D2" s="281"/>
      <c r="E2" s="281"/>
      <c r="F2" s="281"/>
      <c r="G2" s="281"/>
    </row>
    <row r="3" ht="12.75">
      <c r="A3" s="16" t="s">
        <v>384</v>
      </c>
    </row>
    <row r="4" spans="1:7" ht="81.75" customHeight="1">
      <c r="A4" s="313" t="s">
        <v>358</v>
      </c>
      <c r="B4" s="313" t="s">
        <v>241</v>
      </c>
      <c r="C4" s="349" t="s">
        <v>242</v>
      </c>
      <c r="D4" s="350"/>
      <c r="E4" s="350"/>
      <c r="F4" s="351"/>
      <c r="G4" s="403" t="s">
        <v>243</v>
      </c>
    </row>
    <row r="5" spans="1:7" ht="40.5" customHeight="1">
      <c r="A5" s="314"/>
      <c r="B5" s="314"/>
      <c r="C5" s="6" t="s">
        <v>467</v>
      </c>
      <c r="D5" s="6" t="s">
        <v>463</v>
      </c>
      <c r="E5" s="6" t="s">
        <v>155</v>
      </c>
      <c r="F5" s="6" t="s">
        <v>464</v>
      </c>
      <c r="G5" s="404"/>
    </row>
    <row r="6" spans="1:7" ht="23.25" customHeight="1">
      <c r="A6" s="92" t="s">
        <v>130</v>
      </c>
      <c r="B6" s="130">
        <v>477000</v>
      </c>
      <c r="C6" s="148" t="s">
        <v>466</v>
      </c>
      <c r="D6" s="148" t="s">
        <v>324</v>
      </c>
      <c r="E6" s="148">
        <v>0</v>
      </c>
      <c r="F6" s="149">
        <v>0</v>
      </c>
      <c r="G6" s="149">
        <v>0</v>
      </c>
    </row>
    <row r="7" spans="1:7" ht="24" customHeight="1">
      <c r="A7" s="9" t="s">
        <v>131</v>
      </c>
      <c r="B7" s="130">
        <v>47000</v>
      </c>
      <c r="C7" s="149" t="s">
        <v>468</v>
      </c>
      <c r="D7" s="149" t="s">
        <v>324</v>
      </c>
      <c r="E7" s="149">
        <v>0</v>
      </c>
      <c r="F7" s="149">
        <v>0</v>
      </c>
      <c r="G7" s="149">
        <v>0</v>
      </c>
    </row>
    <row r="8" spans="1:7" ht="23.25" customHeight="1">
      <c r="A8" s="9" t="s">
        <v>132</v>
      </c>
      <c r="B8" s="130">
        <v>370</v>
      </c>
      <c r="C8" s="149" t="s">
        <v>469</v>
      </c>
      <c r="D8" s="149" t="s">
        <v>324</v>
      </c>
      <c r="E8" s="149">
        <v>0</v>
      </c>
      <c r="F8" s="149">
        <v>0</v>
      </c>
      <c r="G8" s="149">
        <v>0</v>
      </c>
    </row>
    <row r="9" spans="1:10" ht="46.5" customHeight="1">
      <c r="A9" s="9" t="s">
        <v>327</v>
      </c>
      <c r="B9" s="130" t="s">
        <v>325</v>
      </c>
      <c r="C9" s="148">
        <v>0</v>
      </c>
      <c r="D9" s="148" t="s">
        <v>331</v>
      </c>
      <c r="E9" s="274">
        <v>35</v>
      </c>
      <c r="F9" s="148" t="s">
        <v>326</v>
      </c>
      <c r="G9" s="148" t="s">
        <v>326</v>
      </c>
      <c r="J9" s="47"/>
    </row>
    <row r="10" spans="1:12" ht="35.25" customHeight="1">
      <c r="A10" s="9" t="s">
        <v>328</v>
      </c>
      <c r="B10" s="130" t="s">
        <v>329</v>
      </c>
      <c r="C10" s="149">
        <v>0</v>
      </c>
      <c r="D10" s="149" t="s">
        <v>330</v>
      </c>
      <c r="E10" s="149" t="s">
        <v>338</v>
      </c>
      <c r="F10" s="150"/>
      <c r="G10" s="150"/>
      <c r="I10" s="64"/>
      <c r="J10" s="37"/>
      <c r="K10" s="37"/>
      <c r="L10" s="37"/>
    </row>
    <row r="11" spans="1:12" ht="48" customHeight="1">
      <c r="A11" s="9" t="s">
        <v>332</v>
      </c>
      <c r="B11" s="130" t="s">
        <v>333</v>
      </c>
      <c r="C11" s="149">
        <v>0</v>
      </c>
      <c r="D11" s="149" t="s">
        <v>334</v>
      </c>
      <c r="E11" s="267" t="s">
        <v>334</v>
      </c>
      <c r="F11" s="148" t="s">
        <v>335</v>
      </c>
      <c r="G11" s="148" t="s">
        <v>335</v>
      </c>
      <c r="I11" s="64"/>
      <c r="J11" s="37"/>
      <c r="K11" s="37"/>
      <c r="L11" s="37"/>
    </row>
    <row r="12" spans="1:12" ht="48" customHeight="1">
      <c r="A12" s="9" t="s">
        <v>336</v>
      </c>
      <c r="B12" s="130" t="s">
        <v>337</v>
      </c>
      <c r="C12" s="149">
        <v>0</v>
      </c>
      <c r="D12" s="149">
        <v>84.9</v>
      </c>
      <c r="E12" s="149">
        <v>101.7</v>
      </c>
      <c r="F12" s="148"/>
      <c r="G12" s="148"/>
      <c r="I12" s="64"/>
      <c r="J12" s="37"/>
      <c r="K12" s="37"/>
      <c r="L12" s="37"/>
    </row>
    <row r="13" spans="1:12" ht="41.25" customHeight="1">
      <c r="A13" s="9" t="s">
        <v>462</v>
      </c>
      <c r="B13" s="130">
        <v>23</v>
      </c>
      <c r="C13" s="149" t="s">
        <v>95</v>
      </c>
      <c r="D13" s="149" t="s">
        <v>94</v>
      </c>
      <c r="E13" s="149">
        <v>45.8</v>
      </c>
      <c r="F13" s="148" t="s">
        <v>96</v>
      </c>
      <c r="G13" s="148" t="s">
        <v>465</v>
      </c>
      <c r="I13" s="64"/>
      <c r="J13" s="37"/>
      <c r="K13" s="37"/>
      <c r="L13" s="37"/>
    </row>
    <row r="14" spans="1:12" ht="62.25" customHeight="1">
      <c r="A14" s="9" t="s">
        <v>295</v>
      </c>
      <c r="B14" s="10">
        <v>473</v>
      </c>
      <c r="C14" s="147" t="s">
        <v>296</v>
      </c>
      <c r="D14" s="147" t="s">
        <v>168</v>
      </c>
      <c r="E14" s="147" t="s">
        <v>297</v>
      </c>
      <c r="F14" s="151" t="s">
        <v>169</v>
      </c>
      <c r="G14" s="151" t="s">
        <v>170</v>
      </c>
      <c r="I14" s="64"/>
      <c r="J14" s="37"/>
      <c r="K14" s="259"/>
      <c r="L14" s="37"/>
    </row>
    <row r="15" spans="1:8" ht="12.75">
      <c r="A15" s="43"/>
      <c r="B15" s="43"/>
      <c r="C15" s="43"/>
      <c r="D15" s="43"/>
      <c r="E15" s="43"/>
      <c r="F15" s="43"/>
      <c r="G15" s="43"/>
      <c r="H15" s="89"/>
    </row>
    <row r="16" spans="1:5" ht="18" customHeight="1">
      <c r="A16" s="306" t="s">
        <v>316</v>
      </c>
      <c r="B16" s="306"/>
      <c r="C16" s="306"/>
      <c r="D16" s="306"/>
      <c r="E16" s="306"/>
    </row>
    <row r="17" ht="12.75">
      <c r="A17" s="2"/>
    </row>
    <row r="18" spans="1:7" ht="28.5" customHeight="1">
      <c r="A18" s="5" t="s">
        <v>260</v>
      </c>
      <c r="B18" s="5" t="s">
        <v>261</v>
      </c>
      <c r="C18" s="5" t="s">
        <v>262</v>
      </c>
      <c r="D18" s="5"/>
      <c r="E18" s="5" t="s">
        <v>259</v>
      </c>
      <c r="F18" s="21" t="s">
        <v>375</v>
      </c>
      <c r="G18" s="23"/>
    </row>
    <row r="19" spans="1:7" ht="23.25" customHeight="1">
      <c r="A19" s="405" t="s">
        <v>470</v>
      </c>
      <c r="B19" s="25" t="s">
        <v>150</v>
      </c>
      <c r="C19" s="4">
        <v>1</v>
      </c>
      <c r="D19" s="4"/>
      <c r="E19" s="4">
        <v>5</v>
      </c>
      <c r="F19" s="19">
        <v>5</v>
      </c>
      <c r="G19" s="85"/>
    </row>
    <row r="20" spans="1:7" ht="58.5" customHeight="1">
      <c r="A20" s="321"/>
      <c r="B20" s="25" t="s">
        <v>151</v>
      </c>
      <c r="C20" s="4">
        <v>0</v>
      </c>
      <c r="D20" s="4"/>
      <c r="E20" s="4"/>
      <c r="F20" s="19"/>
      <c r="G20" s="85"/>
    </row>
    <row r="21" spans="1:7" ht="24" customHeight="1">
      <c r="A21" s="405" t="s">
        <v>440</v>
      </c>
      <c r="B21" s="25" t="s">
        <v>150</v>
      </c>
      <c r="C21" s="4">
        <v>1</v>
      </c>
      <c r="D21" s="4"/>
      <c r="E21" s="4">
        <v>5</v>
      </c>
      <c r="F21" s="19">
        <v>5</v>
      </c>
      <c r="G21" s="85"/>
    </row>
    <row r="22" spans="1:7" ht="41.25" customHeight="1">
      <c r="A22" s="321"/>
      <c r="B22" s="25" t="s">
        <v>151</v>
      </c>
      <c r="C22" s="4">
        <v>0</v>
      </c>
      <c r="D22" s="4"/>
      <c r="E22" s="4"/>
      <c r="F22" s="19"/>
      <c r="G22" s="85"/>
    </row>
    <row r="23" spans="1:7" ht="42" customHeight="1">
      <c r="A23" s="405" t="s">
        <v>227</v>
      </c>
      <c r="B23" s="25" t="s">
        <v>150</v>
      </c>
      <c r="C23" s="4">
        <v>1</v>
      </c>
      <c r="D23" s="4"/>
      <c r="E23" s="4">
        <v>5</v>
      </c>
      <c r="F23" s="19">
        <v>5</v>
      </c>
      <c r="G23" s="85"/>
    </row>
    <row r="24" spans="1:7" ht="37.5" customHeight="1">
      <c r="A24" s="321"/>
      <c r="B24" s="25" t="s">
        <v>151</v>
      </c>
      <c r="C24" s="4">
        <v>0</v>
      </c>
      <c r="D24" s="4"/>
      <c r="E24" s="4"/>
      <c r="F24" s="19"/>
      <c r="G24" s="85"/>
    </row>
    <row r="25" spans="1:7" ht="55.5" customHeight="1">
      <c r="A25" s="29" t="s">
        <v>228</v>
      </c>
      <c r="B25" s="82" t="s">
        <v>31</v>
      </c>
      <c r="C25" s="4" t="s">
        <v>156</v>
      </c>
      <c r="D25" s="4"/>
      <c r="E25" s="4">
        <v>20</v>
      </c>
      <c r="F25" s="27">
        <f>E25*0.667</f>
        <v>13.34</v>
      </c>
      <c r="G25" s="85"/>
    </row>
    <row r="26" spans="1:7" ht="17.25" customHeight="1">
      <c r="A26" s="325" t="s">
        <v>153</v>
      </c>
      <c r="B26" s="326"/>
      <c r="C26" s="326"/>
      <c r="D26" s="326"/>
      <c r="E26" s="326"/>
      <c r="F26" s="327"/>
      <c r="G26" s="43"/>
    </row>
    <row r="27" spans="1:7" ht="20.25" customHeight="1">
      <c r="A27" s="294" t="s">
        <v>154</v>
      </c>
      <c r="B27" s="278"/>
      <c r="C27" s="278"/>
      <c r="D27" s="278"/>
      <c r="E27" s="279"/>
      <c r="F27" s="17"/>
      <c r="G27" s="43"/>
    </row>
    <row r="28" spans="1:11" ht="76.5" customHeight="1">
      <c r="A28" s="53" t="s">
        <v>32</v>
      </c>
      <c r="B28" s="82" t="s">
        <v>68</v>
      </c>
      <c r="C28" s="4" t="s">
        <v>443</v>
      </c>
      <c r="D28" s="4"/>
      <c r="E28" s="4">
        <v>10</v>
      </c>
      <c r="F28" s="4">
        <f>E28*1</f>
        <v>10</v>
      </c>
      <c r="G28" s="47"/>
      <c r="H28" s="47"/>
      <c r="I28" s="80"/>
      <c r="J28" s="47"/>
      <c r="K28" s="80"/>
    </row>
    <row r="29" spans="1:10" ht="81.75" customHeight="1">
      <c r="A29" s="53" t="s">
        <v>34</v>
      </c>
      <c r="B29" s="82" t="s">
        <v>35</v>
      </c>
      <c r="C29" s="4" t="s">
        <v>152</v>
      </c>
      <c r="D29" s="4"/>
      <c r="E29" s="4">
        <v>0</v>
      </c>
      <c r="F29" s="19">
        <f>E29*1</f>
        <v>0</v>
      </c>
      <c r="G29" s="90"/>
      <c r="J29" s="90"/>
    </row>
    <row r="30" spans="1:7" ht="22.5" customHeight="1">
      <c r="A30" s="294" t="s">
        <v>36</v>
      </c>
      <c r="B30" s="278"/>
      <c r="C30" s="278"/>
      <c r="D30" s="278"/>
      <c r="E30" s="279"/>
      <c r="F30" s="19"/>
      <c r="G30" s="85"/>
    </row>
    <row r="31" spans="1:8" ht="84" customHeight="1">
      <c r="A31" s="53" t="s">
        <v>37</v>
      </c>
      <c r="B31" s="82" t="s">
        <v>35</v>
      </c>
      <c r="C31" s="4" t="s">
        <v>443</v>
      </c>
      <c r="D31" s="4"/>
      <c r="E31" s="4">
        <v>5</v>
      </c>
      <c r="F31" s="104">
        <f>E31*1</f>
        <v>5</v>
      </c>
      <c r="G31" s="86"/>
      <c r="H31" s="64"/>
    </row>
    <row r="32" spans="1:7" ht="82.5" customHeight="1">
      <c r="A32" s="53" t="s">
        <v>38</v>
      </c>
      <c r="B32" s="82" t="s">
        <v>35</v>
      </c>
      <c r="C32" s="4">
        <v>0</v>
      </c>
      <c r="D32" s="4"/>
      <c r="E32" s="4">
        <v>0</v>
      </c>
      <c r="F32" s="33" t="s">
        <v>372</v>
      </c>
      <c r="G32" s="85"/>
    </row>
    <row r="33" spans="1:7" ht="28.5" customHeight="1">
      <c r="A33" s="325" t="s">
        <v>246</v>
      </c>
      <c r="B33" s="326"/>
      <c r="C33" s="326"/>
      <c r="D33" s="326"/>
      <c r="E33" s="326"/>
      <c r="F33" s="327"/>
      <c r="G33" s="85"/>
    </row>
    <row r="34" spans="1:14" ht="26.25" customHeight="1">
      <c r="A34" s="294" t="s">
        <v>40</v>
      </c>
      <c r="B34" s="278"/>
      <c r="C34" s="278"/>
      <c r="D34" s="278"/>
      <c r="E34" s="279"/>
      <c r="F34" s="19"/>
      <c r="G34" s="85"/>
      <c r="J34" s="37"/>
      <c r="K34" s="318"/>
      <c r="L34" s="318"/>
      <c r="M34" s="318"/>
      <c r="N34" s="318"/>
    </row>
    <row r="35" spans="1:16" ht="47.25" customHeight="1">
      <c r="A35" s="53" t="s">
        <v>41</v>
      </c>
      <c r="B35" s="82" t="s">
        <v>348</v>
      </c>
      <c r="C35" s="4" t="s">
        <v>444</v>
      </c>
      <c r="D35" s="4"/>
      <c r="E35" s="4">
        <v>5</v>
      </c>
      <c r="F35" s="19">
        <f>E35*1</f>
        <v>5</v>
      </c>
      <c r="G35" s="85"/>
      <c r="H35" s="47"/>
      <c r="K35" s="247"/>
      <c r="L35" s="247"/>
      <c r="M35" s="247"/>
      <c r="N35" s="247"/>
      <c r="P35" s="60"/>
    </row>
    <row r="36" spans="1:16" ht="48.75" customHeight="1">
      <c r="A36" s="53" t="s">
        <v>349</v>
      </c>
      <c r="B36" s="82" t="s">
        <v>348</v>
      </c>
      <c r="C36" s="4" t="s">
        <v>444</v>
      </c>
      <c r="D36" s="4"/>
      <c r="E36" s="4">
        <v>5</v>
      </c>
      <c r="F36" s="19">
        <f>E36*1</f>
        <v>5</v>
      </c>
      <c r="G36" s="85"/>
      <c r="J36" s="37"/>
      <c r="K36" s="37"/>
      <c r="L36" s="37"/>
      <c r="M36" s="37"/>
      <c r="N36" s="37"/>
      <c r="P36" s="60"/>
    </row>
    <row r="37" spans="1:14" ht="27" customHeight="1">
      <c r="A37" s="328" t="s">
        <v>350</v>
      </c>
      <c r="B37" s="329"/>
      <c r="C37" s="329"/>
      <c r="D37" s="329"/>
      <c r="E37" s="329"/>
      <c r="F37" s="330"/>
      <c r="G37" s="85"/>
      <c r="J37" s="47"/>
      <c r="K37" s="37"/>
      <c r="L37" s="37"/>
      <c r="M37" s="37"/>
      <c r="N37" s="37"/>
    </row>
    <row r="38" spans="1:14" ht="50.25" customHeight="1">
      <c r="A38" s="53" t="s">
        <v>351</v>
      </c>
      <c r="B38" s="82" t="s">
        <v>348</v>
      </c>
      <c r="C38" s="4" t="s">
        <v>444</v>
      </c>
      <c r="D38" s="4"/>
      <c r="E38" s="4">
        <v>10</v>
      </c>
      <c r="F38" s="19">
        <f>E38*1</f>
        <v>10</v>
      </c>
      <c r="G38" s="85"/>
      <c r="J38" s="37"/>
      <c r="K38" s="37"/>
      <c r="L38" s="37"/>
      <c r="M38" s="37"/>
      <c r="N38" s="37"/>
    </row>
    <row r="39" spans="1:14" ht="65.25" customHeight="1">
      <c r="A39" s="53" t="s">
        <v>352</v>
      </c>
      <c r="B39" s="82" t="s">
        <v>348</v>
      </c>
      <c r="C39" s="4">
        <v>0</v>
      </c>
      <c r="D39" s="4"/>
      <c r="E39" s="4">
        <v>0</v>
      </c>
      <c r="F39" s="33" t="s">
        <v>372</v>
      </c>
      <c r="G39" s="87"/>
      <c r="J39" s="37"/>
      <c r="K39" s="37"/>
      <c r="L39" s="37"/>
      <c r="M39" s="37"/>
      <c r="N39" s="37"/>
    </row>
    <row r="40" spans="1:16" ht="49.5" customHeight="1">
      <c r="A40" s="53" t="s">
        <v>353</v>
      </c>
      <c r="B40" s="82" t="s">
        <v>348</v>
      </c>
      <c r="C40" s="4" t="s">
        <v>445</v>
      </c>
      <c r="D40" s="4"/>
      <c r="E40" s="4">
        <v>5</v>
      </c>
      <c r="F40" s="113">
        <f>E40*0.959</f>
        <v>4.795</v>
      </c>
      <c r="G40" s="87"/>
      <c r="N40" s="64"/>
      <c r="P40" s="60"/>
    </row>
    <row r="41" spans="1:7" ht="59.25" customHeight="1">
      <c r="A41" s="53" t="s">
        <v>354</v>
      </c>
      <c r="B41" s="82" t="s">
        <v>348</v>
      </c>
      <c r="C41" s="4" t="s">
        <v>152</v>
      </c>
      <c r="D41" s="4"/>
      <c r="E41" s="4">
        <v>0</v>
      </c>
      <c r="F41" s="33" t="s">
        <v>372</v>
      </c>
      <c r="G41" s="87"/>
    </row>
    <row r="42" spans="1:7" ht="68.25" customHeight="1">
      <c r="A42" s="53" t="s">
        <v>321</v>
      </c>
      <c r="B42" s="82" t="s">
        <v>322</v>
      </c>
      <c r="C42" s="4">
        <v>0</v>
      </c>
      <c r="D42" s="4"/>
      <c r="E42" s="4">
        <v>0</v>
      </c>
      <c r="F42" s="33" t="s">
        <v>372</v>
      </c>
      <c r="G42" s="87"/>
    </row>
    <row r="43" spans="1:7" ht="12.75">
      <c r="A43" s="20" t="s">
        <v>374</v>
      </c>
      <c r="B43" s="17"/>
      <c r="C43" s="17"/>
      <c r="D43" s="17"/>
      <c r="E43" s="20">
        <f>E42+E41+E40+E39+E38+E36+E35+E32+E31+E29+E28+E25+E23+E21+E19</f>
        <v>75</v>
      </c>
      <c r="F43" s="65">
        <f>F40+F38+F36+F35+F31+F29+F28+F25+F23+F21+F19</f>
        <v>68.135</v>
      </c>
      <c r="G43" s="56">
        <f>F43/E43*100</f>
        <v>90.84666666666668</v>
      </c>
    </row>
    <row r="44" spans="1:7" ht="12.75">
      <c r="A44" s="276" t="s">
        <v>26</v>
      </c>
      <c r="B44" s="276"/>
      <c r="C44" s="276"/>
      <c r="D44" s="276"/>
      <c r="E44" s="277"/>
      <c r="F44" s="276"/>
      <c r="G44" s="276"/>
    </row>
    <row r="45" spans="1:7" ht="66" customHeight="1">
      <c r="A45" s="402" t="s">
        <v>298</v>
      </c>
      <c r="B45" s="402"/>
      <c r="C45" s="402"/>
      <c r="D45" s="402"/>
      <c r="E45" s="402"/>
      <c r="F45" s="402"/>
      <c r="G45" s="402"/>
    </row>
    <row r="46" spans="1:7" ht="90" customHeight="1">
      <c r="A46" s="401" t="s">
        <v>299</v>
      </c>
      <c r="B46" s="401"/>
      <c r="C46" s="401"/>
      <c r="D46" s="401"/>
      <c r="E46" s="401"/>
      <c r="F46" s="401"/>
      <c r="G46" s="401"/>
    </row>
    <row r="47" spans="1:7" ht="78" customHeight="1">
      <c r="A47" s="401" t="s">
        <v>301</v>
      </c>
      <c r="B47" s="401"/>
      <c r="C47" s="401"/>
      <c r="D47" s="401"/>
      <c r="E47" s="401"/>
      <c r="F47" s="401"/>
      <c r="G47" s="401"/>
    </row>
    <row r="49" spans="1:5" ht="25.5">
      <c r="A49" s="22" t="s">
        <v>49</v>
      </c>
      <c r="E49" s="1" t="s">
        <v>84</v>
      </c>
    </row>
    <row r="54" ht="12.75">
      <c r="A54" s="37"/>
    </row>
    <row r="55" s="95" customFormat="1" ht="12"/>
  </sheetData>
  <mergeCells count="21">
    <mergeCell ref="A26:F26"/>
    <mergeCell ref="A27:E27"/>
    <mergeCell ref="A30:E30"/>
    <mergeCell ref="A33:F33"/>
    <mergeCell ref="A16:E16"/>
    <mergeCell ref="A19:A20"/>
    <mergeCell ref="A21:A22"/>
    <mergeCell ref="A23:A24"/>
    <mergeCell ref="A1:G1"/>
    <mergeCell ref="A2:G2"/>
    <mergeCell ref="A4:A5"/>
    <mergeCell ref="B4:B5"/>
    <mergeCell ref="C4:F4"/>
    <mergeCell ref="G4:G5"/>
    <mergeCell ref="A46:G46"/>
    <mergeCell ref="A47:G47"/>
    <mergeCell ref="K34:L34"/>
    <mergeCell ref="M34:N34"/>
    <mergeCell ref="A34:E34"/>
    <mergeCell ref="A37:F37"/>
    <mergeCell ref="A45:G4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O51"/>
  <sheetViews>
    <sheetView workbookViewId="0" topLeftCell="A43">
      <selection activeCell="A51" sqref="A51:IV52"/>
    </sheetView>
  </sheetViews>
  <sheetFormatPr defaultColWidth="9.00390625" defaultRowHeight="12.75"/>
  <cols>
    <col min="1" max="1" width="43.75390625" style="1" customWidth="1"/>
    <col min="2" max="2" width="19.00390625" style="1" customWidth="1"/>
    <col min="3" max="3" width="7.625" style="1" customWidth="1"/>
    <col min="4" max="4" width="8.125" style="1" customWidth="1"/>
    <col min="5" max="5" width="7.875" style="1" customWidth="1"/>
    <col min="6" max="6" width="8.125" style="1" customWidth="1"/>
    <col min="7" max="8" width="6.875" style="1" customWidth="1"/>
    <col min="9" max="16384" width="9.125" style="1" customWidth="1"/>
  </cols>
  <sheetData>
    <row r="1" spans="1:6" ht="12.75" customHeight="1">
      <c r="A1" s="306" t="s">
        <v>382</v>
      </c>
      <c r="B1" s="306"/>
      <c r="C1" s="306"/>
      <c r="D1" s="306"/>
      <c r="E1" s="306"/>
      <c r="F1" s="306"/>
    </row>
    <row r="2" spans="1:6" ht="31.5" customHeight="1">
      <c r="A2" s="281" t="s">
        <v>100</v>
      </c>
      <c r="B2" s="281"/>
      <c r="C2" s="281"/>
      <c r="D2" s="281"/>
      <c r="E2" s="281"/>
      <c r="F2" s="281"/>
    </row>
    <row r="3" spans="1:6" ht="18.75" customHeight="1">
      <c r="A3" s="58"/>
      <c r="B3" s="58"/>
      <c r="C3" s="58"/>
      <c r="D3" s="58"/>
      <c r="E3" s="58"/>
      <c r="F3" s="58"/>
    </row>
    <row r="4" ht="12.75">
      <c r="A4" s="16" t="s">
        <v>384</v>
      </c>
    </row>
    <row r="5" spans="1:6" ht="43.5" customHeight="1">
      <c r="A5" s="313" t="s">
        <v>358</v>
      </c>
      <c r="B5" s="313" t="s">
        <v>241</v>
      </c>
      <c r="C5" s="349" t="s">
        <v>242</v>
      </c>
      <c r="D5" s="350"/>
      <c r="E5" s="350"/>
      <c r="F5" s="351"/>
    </row>
    <row r="6" spans="1:6" ht="32.25" customHeight="1">
      <c r="A6" s="314"/>
      <c r="B6" s="314"/>
      <c r="C6" s="7" t="s">
        <v>270</v>
      </c>
      <c r="D6" s="249" t="s">
        <v>307</v>
      </c>
      <c r="E6" s="349" t="s">
        <v>308</v>
      </c>
      <c r="F6" s="351"/>
    </row>
    <row r="7" spans="1:6" ht="12.75">
      <c r="A7" s="394" t="s">
        <v>266</v>
      </c>
      <c r="B7" s="395"/>
      <c r="C7" s="395"/>
      <c r="D7" s="395"/>
      <c r="E7" s="395"/>
      <c r="F7" s="396"/>
    </row>
    <row r="8" spans="1:6" ht="12.75">
      <c r="A8" s="9" t="s">
        <v>271</v>
      </c>
      <c r="B8" s="7">
        <v>3200</v>
      </c>
      <c r="C8" s="7">
        <v>3155</v>
      </c>
      <c r="D8" s="249">
        <v>3200</v>
      </c>
      <c r="E8" s="349">
        <v>3061</v>
      </c>
      <c r="F8" s="351"/>
    </row>
    <row r="9" spans="1:6" ht="12.75">
      <c r="A9" s="9" t="s">
        <v>272</v>
      </c>
      <c r="B9" s="7">
        <v>80</v>
      </c>
      <c r="C9" s="7">
        <v>70.2</v>
      </c>
      <c r="D9" s="249">
        <v>100</v>
      </c>
      <c r="E9" s="349">
        <v>74.8</v>
      </c>
      <c r="F9" s="351"/>
    </row>
    <row r="10" spans="1:10" ht="27" customHeight="1">
      <c r="A10" s="9" t="s">
        <v>273</v>
      </c>
      <c r="B10" s="7">
        <v>150</v>
      </c>
      <c r="C10" s="229">
        <v>163.7</v>
      </c>
      <c r="D10" s="250">
        <v>200</v>
      </c>
      <c r="E10" s="397">
        <v>154.5</v>
      </c>
      <c r="F10" s="398"/>
      <c r="J10" s="28"/>
    </row>
    <row r="11" spans="1:9" ht="15" customHeight="1">
      <c r="A11" s="9" t="s">
        <v>274</v>
      </c>
      <c r="B11" s="7">
        <v>1029.7</v>
      </c>
      <c r="C11" s="7">
        <v>1137</v>
      </c>
      <c r="D11" s="249">
        <v>1117</v>
      </c>
      <c r="E11" s="349">
        <v>1373</v>
      </c>
      <c r="F11" s="351"/>
      <c r="I11" s="64"/>
    </row>
    <row r="12" spans="1:8" ht="12.75">
      <c r="A12" s="38" t="s">
        <v>275</v>
      </c>
      <c r="B12" s="42">
        <v>127781</v>
      </c>
      <c r="C12" s="42">
        <v>133710</v>
      </c>
      <c r="D12" s="42">
        <v>129000</v>
      </c>
      <c r="E12" s="391">
        <v>136880</v>
      </c>
      <c r="F12" s="391"/>
      <c r="G12" s="163"/>
      <c r="H12" s="163"/>
    </row>
    <row r="13" spans="1:8" ht="12.75">
      <c r="A13" s="38" t="s">
        <v>276</v>
      </c>
      <c r="B13" s="42">
        <v>810</v>
      </c>
      <c r="C13" s="42">
        <v>690</v>
      </c>
      <c r="D13" s="42">
        <v>800</v>
      </c>
      <c r="E13" s="391">
        <v>655</v>
      </c>
      <c r="F13" s="391"/>
      <c r="G13" s="163"/>
      <c r="H13" s="163"/>
    </row>
    <row r="14" spans="1:8" ht="12.75">
      <c r="A14" s="171" t="s">
        <v>289</v>
      </c>
      <c r="B14" s="170">
        <v>322</v>
      </c>
      <c r="C14" s="42">
        <f>C15+C16+C17</f>
        <v>322</v>
      </c>
      <c r="D14" s="42">
        <v>365</v>
      </c>
      <c r="E14" s="391">
        <v>355</v>
      </c>
      <c r="F14" s="391"/>
      <c r="G14" s="163"/>
      <c r="H14" s="163"/>
    </row>
    <row r="15" spans="1:9" ht="12.75">
      <c r="A15" s="38" t="s">
        <v>267</v>
      </c>
      <c r="B15" s="42">
        <v>110</v>
      </c>
      <c r="C15" s="42">
        <v>111</v>
      </c>
      <c r="D15" s="42">
        <v>150</v>
      </c>
      <c r="E15" s="391">
        <v>155</v>
      </c>
      <c r="F15" s="391"/>
      <c r="G15" s="89"/>
      <c r="H15" s="89"/>
      <c r="I15" s="43"/>
    </row>
    <row r="16" spans="1:9" ht="12.75">
      <c r="A16" s="38" t="s">
        <v>268</v>
      </c>
      <c r="B16" s="42">
        <v>25</v>
      </c>
      <c r="C16" s="42">
        <v>24</v>
      </c>
      <c r="D16" s="42">
        <v>25</v>
      </c>
      <c r="E16" s="391">
        <v>13</v>
      </c>
      <c r="F16" s="391"/>
      <c r="G16" s="89"/>
      <c r="H16" s="89"/>
      <c r="I16" s="43"/>
    </row>
    <row r="17" spans="1:9" ht="12.75">
      <c r="A17" s="38" t="s">
        <v>269</v>
      </c>
      <c r="B17" s="42">
        <v>187</v>
      </c>
      <c r="C17" s="42">
        <v>187</v>
      </c>
      <c r="D17" s="170">
        <v>190</v>
      </c>
      <c r="E17" s="392">
        <v>187</v>
      </c>
      <c r="F17" s="393"/>
      <c r="G17" s="89"/>
      <c r="H17" s="89"/>
      <c r="I17" s="60"/>
    </row>
    <row r="18" spans="1:5" ht="18" customHeight="1">
      <c r="A18" s="306" t="s">
        <v>316</v>
      </c>
      <c r="B18" s="306"/>
      <c r="C18" s="306"/>
      <c r="D18" s="306"/>
      <c r="E18" s="306"/>
    </row>
    <row r="19" spans="1:6" ht="28.5" customHeight="1">
      <c r="A19" s="5" t="s">
        <v>260</v>
      </c>
      <c r="B19" s="5" t="s">
        <v>261</v>
      </c>
      <c r="C19" s="5" t="s">
        <v>262</v>
      </c>
      <c r="D19" s="5"/>
      <c r="E19" s="5" t="s">
        <v>259</v>
      </c>
      <c r="F19" s="21" t="s">
        <v>375</v>
      </c>
    </row>
    <row r="20" spans="1:6" ht="23.25" customHeight="1">
      <c r="A20" s="399" t="s">
        <v>277</v>
      </c>
      <c r="B20" s="25" t="s">
        <v>150</v>
      </c>
      <c r="C20" s="4">
        <v>1</v>
      </c>
      <c r="D20" s="4"/>
      <c r="E20" s="4">
        <v>5</v>
      </c>
      <c r="F20" s="19">
        <v>5</v>
      </c>
    </row>
    <row r="21" spans="1:6" ht="21.75" customHeight="1">
      <c r="A21" s="317"/>
      <c r="B21" s="25" t="s">
        <v>151</v>
      </c>
      <c r="C21" s="4">
        <v>0</v>
      </c>
      <c r="D21" s="4"/>
      <c r="E21" s="4"/>
      <c r="F21" s="19"/>
    </row>
    <row r="22" spans="1:6" ht="24" customHeight="1">
      <c r="A22" s="399" t="s">
        <v>278</v>
      </c>
      <c r="B22" s="25" t="s">
        <v>150</v>
      </c>
      <c r="C22" s="4">
        <v>1</v>
      </c>
      <c r="D22" s="4"/>
      <c r="E22" s="4">
        <v>5</v>
      </c>
      <c r="F22" s="19">
        <v>5</v>
      </c>
    </row>
    <row r="23" spans="1:6" ht="22.5" customHeight="1">
      <c r="A23" s="317"/>
      <c r="B23" s="25" t="s">
        <v>151</v>
      </c>
      <c r="C23" s="4">
        <v>0</v>
      </c>
      <c r="D23" s="4"/>
      <c r="E23" s="4"/>
      <c r="F23" s="19"/>
    </row>
    <row r="24" spans="1:6" ht="25.5" customHeight="1">
      <c r="A24" s="399" t="s">
        <v>66</v>
      </c>
      <c r="B24" s="25" t="s">
        <v>150</v>
      </c>
      <c r="C24" s="4">
        <v>1</v>
      </c>
      <c r="D24" s="4"/>
      <c r="E24" s="4">
        <v>5</v>
      </c>
      <c r="F24" s="19">
        <v>5</v>
      </c>
    </row>
    <row r="25" spans="1:6" ht="25.5" customHeight="1">
      <c r="A25" s="317"/>
      <c r="B25" s="25" t="s">
        <v>151</v>
      </c>
      <c r="C25" s="4">
        <v>0</v>
      </c>
      <c r="D25" s="4"/>
      <c r="E25" s="4"/>
      <c r="F25" s="19"/>
    </row>
    <row r="26" spans="1:6" ht="52.5" customHeight="1">
      <c r="A26" s="91" t="s">
        <v>67</v>
      </c>
      <c r="B26" s="82" t="s">
        <v>31</v>
      </c>
      <c r="C26" s="4" t="s">
        <v>309</v>
      </c>
      <c r="D26" s="4"/>
      <c r="E26" s="4">
        <v>20</v>
      </c>
      <c r="F26" s="27">
        <f>E26*0.286</f>
        <v>5.72</v>
      </c>
    </row>
    <row r="27" spans="1:6" ht="17.25" customHeight="1">
      <c r="A27" s="325" t="s">
        <v>153</v>
      </c>
      <c r="B27" s="326"/>
      <c r="C27" s="326"/>
      <c r="D27" s="326"/>
      <c r="E27" s="326"/>
      <c r="F27" s="327"/>
    </row>
    <row r="28" spans="1:6" ht="20.25" customHeight="1">
      <c r="A28" s="294" t="s">
        <v>154</v>
      </c>
      <c r="B28" s="278"/>
      <c r="C28" s="278"/>
      <c r="D28" s="278"/>
      <c r="E28" s="279"/>
      <c r="F28" s="17"/>
    </row>
    <row r="29" spans="1:11" ht="76.5" customHeight="1">
      <c r="A29" s="53" t="s">
        <v>32</v>
      </c>
      <c r="B29" s="82" t="s">
        <v>68</v>
      </c>
      <c r="C29" s="4" t="s">
        <v>310</v>
      </c>
      <c r="D29" s="4"/>
      <c r="E29" s="4">
        <v>10</v>
      </c>
      <c r="F29" s="164">
        <f>E29*0.375</f>
        <v>3.75</v>
      </c>
      <c r="G29" s="47"/>
      <c r="H29" s="47"/>
      <c r="I29" s="80"/>
      <c r="J29" s="47"/>
      <c r="K29" s="80"/>
    </row>
    <row r="30" spans="1:10" ht="68.25" customHeight="1">
      <c r="A30" s="53" t="s">
        <v>34</v>
      </c>
      <c r="B30" s="82" t="s">
        <v>35</v>
      </c>
      <c r="C30" s="4" t="s">
        <v>152</v>
      </c>
      <c r="D30" s="4"/>
      <c r="E30" s="4">
        <v>5</v>
      </c>
      <c r="F30" s="19">
        <v>0</v>
      </c>
      <c r="J30" s="90"/>
    </row>
    <row r="31" spans="1:6" ht="22.5" customHeight="1">
      <c r="A31" s="294" t="s">
        <v>36</v>
      </c>
      <c r="B31" s="278"/>
      <c r="C31" s="278"/>
      <c r="D31" s="278"/>
      <c r="E31" s="279"/>
      <c r="F31" s="19"/>
    </row>
    <row r="32" spans="1:10" ht="69" customHeight="1">
      <c r="A32" s="53" t="s">
        <v>37</v>
      </c>
      <c r="B32" s="82" t="s">
        <v>35</v>
      </c>
      <c r="C32" s="4" t="s">
        <v>311</v>
      </c>
      <c r="D32" s="4"/>
      <c r="E32" s="4">
        <v>5</v>
      </c>
      <c r="F32" s="27">
        <f>E32*0.607</f>
        <v>3.035</v>
      </c>
      <c r="G32" s="64"/>
      <c r="H32" s="64"/>
      <c r="I32" s="47"/>
      <c r="J32" s="259"/>
    </row>
    <row r="33" spans="1:6" ht="68.25" customHeight="1">
      <c r="A33" s="53" t="s">
        <v>38</v>
      </c>
      <c r="B33" s="82" t="s">
        <v>35</v>
      </c>
      <c r="C33" s="4" t="s">
        <v>152</v>
      </c>
      <c r="D33" s="4"/>
      <c r="E33" s="4">
        <v>5</v>
      </c>
      <c r="F33" s="19">
        <v>0</v>
      </c>
    </row>
    <row r="34" spans="1:15" ht="28.5" customHeight="1">
      <c r="A34" s="325" t="s">
        <v>246</v>
      </c>
      <c r="B34" s="326"/>
      <c r="C34" s="326"/>
      <c r="D34" s="326"/>
      <c r="E34" s="326"/>
      <c r="F34" s="327"/>
      <c r="I34" s="37"/>
      <c r="L34" s="261"/>
      <c r="M34" s="247"/>
      <c r="N34" s="247"/>
      <c r="O34" s="261"/>
    </row>
    <row r="35" spans="1:15" ht="26.25" customHeight="1">
      <c r="A35" s="294" t="s">
        <v>40</v>
      </c>
      <c r="B35" s="278"/>
      <c r="C35" s="278"/>
      <c r="D35" s="278"/>
      <c r="E35" s="279"/>
      <c r="F35" s="19"/>
      <c r="I35" s="37"/>
      <c r="J35" s="246"/>
      <c r="K35" s="246"/>
      <c r="L35" s="16"/>
      <c r="M35" s="246"/>
      <c r="N35" s="246"/>
      <c r="O35" s="16"/>
    </row>
    <row r="36" spans="1:15" ht="47.25" customHeight="1">
      <c r="A36" s="53" t="s">
        <v>41</v>
      </c>
      <c r="B36" s="82" t="s">
        <v>348</v>
      </c>
      <c r="C36" s="4" t="s">
        <v>315</v>
      </c>
      <c r="D36" s="4"/>
      <c r="E36" s="4">
        <v>5</v>
      </c>
      <c r="F36" s="27">
        <f>E36*0.837</f>
        <v>4.185</v>
      </c>
      <c r="G36" s="47"/>
      <c r="H36" s="47"/>
      <c r="I36" s="259"/>
      <c r="J36" s="37"/>
      <c r="K36" s="37"/>
      <c r="L36" s="122"/>
      <c r="O36" s="16"/>
    </row>
    <row r="37" spans="1:15" ht="45.75" customHeight="1">
      <c r="A37" s="53" t="s">
        <v>349</v>
      </c>
      <c r="B37" s="82" t="s">
        <v>348</v>
      </c>
      <c r="C37" s="4" t="s">
        <v>312</v>
      </c>
      <c r="D37" s="4"/>
      <c r="E37" s="4">
        <v>5</v>
      </c>
      <c r="F37" s="27">
        <f>E37*0.927</f>
        <v>4.635</v>
      </c>
      <c r="I37" s="259"/>
      <c r="J37" s="193"/>
      <c r="K37" s="193"/>
      <c r="L37" s="262"/>
      <c r="M37" s="193"/>
      <c r="N37" s="193"/>
      <c r="O37" s="262"/>
    </row>
    <row r="38" spans="1:15" ht="27" customHeight="1">
      <c r="A38" s="328" t="s">
        <v>350</v>
      </c>
      <c r="B38" s="329"/>
      <c r="C38" s="329"/>
      <c r="D38" s="329"/>
      <c r="E38" s="329"/>
      <c r="F38" s="330"/>
      <c r="I38" s="259"/>
      <c r="J38" s="37"/>
      <c r="K38" s="37"/>
      <c r="L38" s="122"/>
      <c r="O38" s="122"/>
    </row>
    <row r="39" spans="1:15" ht="50.25" customHeight="1">
      <c r="A39" s="53" t="s">
        <v>351</v>
      </c>
      <c r="B39" s="82" t="s">
        <v>348</v>
      </c>
      <c r="C39" s="4" t="s">
        <v>313</v>
      </c>
      <c r="D39" s="4"/>
      <c r="E39" s="4">
        <v>10</v>
      </c>
      <c r="F39" s="27">
        <f>E39*0.929</f>
        <v>9.290000000000001</v>
      </c>
      <c r="I39" s="259"/>
      <c r="J39" s="37"/>
      <c r="K39" s="37"/>
      <c r="L39" s="262"/>
      <c r="M39" s="37"/>
      <c r="N39" s="37"/>
      <c r="O39" s="122"/>
    </row>
    <row r="40" spans="1:15" ht="51" customHeight="1">
      <c r="A40" s="53" t="s">
        <v>352</v>
      </c>
      <c r="B40" s="82" t="s">
        <v>348</v>
      </c>
      <c r="C40" s="4" t="s">
        <v>152</v>
      </c>
      <c r="D40" s="4"/>
      <c r="E40" s="4">
        <v>5</v>
      </c>
      <c r="F40" s="15">
        <v>0</v>
      </c>
      <c r="I40" s="259"/>
      <c r="J40" s="37"/>
      <c r="K40" s="37"/>
      <c r="L40" s="122"/>
      <c r="M40" s="37"/>
      <c r="N40" s="37"/>
      <c r="O40" s="122"/>
    </row>
    <row r="41" spans="1:15" ht="49.5" customHeight="1">
      <c r="A41" s="53" t="s">
        <v>353</v>
      </c>
      <c r="B41" s="82" t="s">
        <v>348</v>
      </c>
      <c r="C41" s="4" t="s">
        <v>314</v>
      </c>
      <c r="D41" s="4"/>
      <c r="E41" s="4">
        <v>5</v>
      </c>
      <c r="F41" s="113">
        <f>E41*0.301</f>
        <v>1.505</v>
      </c>
      <c r="I41" s="259"/>
      <c r="J41" s="37"/>
      <c r="K41" s="37"/>
      <c r="L41" s="122"/>
      <c r="M41" s="37"/>
      <c r="N41" s="37"/>
      <c r="O41" s="122"/>
    </row>
    <row r="42" spans="1:15" ht="59.25" customHeight="1">
      <c r="A42" s="53" t="s">
        <v>354</v>
      </c>
      <c r="B42" s="82" t="s">
        <v>348</v>
      </c>
      <c r="C42" s="4" t="s">
        <v>317</v>
      </c>
      <c r="D42" s="4"/>
      <c r="E42" s="4">
        <v>5</v>
      </c>
      <c r="F42" s="263">
        <f>E42*0.642</f>
        <v>3.21</v>
      </c>
      <c r="I42" s="259"/>
      <c r="J42" s="193"/>
      <c r="K42" s="37"/>
      <c r="L42" s="262"/>
      <c r="M42" s="193"/>
      <c r="N42" s="193"/>
      <c r="O42" s="262"/>
    </row>
    <row r="43" spans="1:11" ht="41.25" customHeight="1">
      <c r="A43" s="53" t="s">
        <v>321</v>
      </c>
      <c r="B43" s="82" t="s">
        <v>322</v>
      </c>
      <c r="C43" s="4">
        <v>0</v>
      </c>
      <c r="D43" s="4"/>
      <c r="E43" s="4">
        <v>0</v>
      </c>
      <c r="F43" s="33" t="s">
        <v>372</v>
      </c>
      <c r="I43" s="259"/>
      <c r="J43" s="37"/>
      <c r="K43" s="37"/>
    </row>
    <row r="44" spans="1:11" ht="41.25" customHeight="1">
      <c r="A44" s="53"/>
      <c r="B44" s="82" t="s">
        <v>323</v>
      </c>
      <c r="C44" s="4">
        <v>0</v>
      </c>
      <c r="D44" s="4"/>
      <c r="E44" s="4">
        <v>0</v>
      </c>
      <c r="F44" s="33"/>
      <c r="I44" s="259"/>
      <c r="J44" s="37"/>
      <c r="K44" s="37"/>
    </row>
    <row r="45" spans="1:11" ht="12.75">
      <c r="A45" s="20" t="s">
        <v>374</v>
      </c>
      <c r="B45" s="17"/>
      <c r="C45" s="17"/>
      <c r="D45" s="17"/>
      <c r="E45" s="20">
        <f>E43+E42+E41+E40+E39+E37+E36+E33+E32+E30+E29+E26+E24+E22+E20</f>
        <v>95</v>
      </c>
      <c r="F45" s="65">
        <f>F41+F40+F39+F37+F36+F33+F32+F30+F29+F26+F24+F22+F20+F42</f>
        <v>50.330000000000005</v>
      </c>
      <c r="G45" s="93">
        <f>F45/E45*100</f>
        <v>52.97894736842106</v>
      </c>
      <c r="H45" s="93"/>
      <c r="I45" s="37"/>
      <c r="J45" s="260"/>
      <c r="K45" s="37"/>
    </row>
    <row r="46" spans="1:5" ht="12.75">
      <c r="A46" s="16" t="s">
        <v>26</v>
      </c>
      <c r="E46" s="26"/>
    </row>
    <row r="47" spans="1:6" ht="186" customHeight="1">
      <c r="A47" s="400" t="s">
        <v>99</v>
      </c>
      <c r="B47" s="400"/>
      <c r="C47" s="400"/>
      <c r="D47" s="400"/>
      <c r="E47" s="400"/>
      <c r="F47" s="400"/>
    </row>
    <row r="48" spans="1:6" ht="12.75">
      <c r="A48" s="266"/>
      <c r="B48" s="266"/>
      <c r="C48" s="266"/>
      <c r="D48" s="266"/>
      <c r="E48" s="266"/>
      <c r="F48" s="266"/>
    </row>
    <row r="49" spans="1:5" ht="25.5">
      <c r="A49" s="22" t="s">
        <v>49</v>
      </c>
      <c r="E49" s="1" t="s">
        <v>84</v>
      </c>
    </row>
    <row r="51" ht="12.75">
      <c r="A51" s="37"/>
    </row>
  </sheetData>
  <mergeCells count="28">
    <mergeCell ref="A35:E35"/>
    <mergeCell ref="A47:F47"/>
    <mergeCell ref="A34:F34"/>
    <mergeCell ref="A38:F38"/>
    <mergeCell ref="A27:F27"/>
    <mergeCell ref="A28:E28"/>
    <mergeCell ref="A31:E31"/>
    <mergeCell ref="A18:E18"/>
    <mergeCell ref="A20:A21"/>
    <mergeCell ref="A22:A23"/>
    <mergeCell ref="A24:A25"/>
    <mergeCell ref="A1:F1"/>
    <mergeCell ref="A2:F2"/>
    <mergeCell ref="A5:A6"/>
    <mergeCell ref="B5:B6"/>
    <mergeCell ref="C5:F5"/>
    <mergeCell ref="E6:F6"/>
    <mergeCell ref="A7:F7"/>
    <mergeCell ref="E12:F12"/>
    <mergeCell ref="E9:F9"/>
    <mergeCell ref="E10:F10"/>
    <mergeCell ref="E8:F8"/>
    <mergeCell ref="E14:F14"/>
    <mergeCell ref="E11:F11"/>
    <mergeCell ref="E13:F13"/>
    <mergeCell ref="E17:F17"/>
    <mergeCell ref="E15:F15"/>
    <mergeCell ref="E16:F16"/>
  </mergeCells>
  <printOptions/>
  <pageMargins left="0.5905511811023623" right="0.3937007874015748" top="0.5905511811023623" bottom="0.1968503937007874" header="0.5118110236220472" footer="0.5118110236220472"/>
  <pageSetup fitToHeight="0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48"/>
  <sheetViews>
    <sheetView workbookViewId="0" topLeftCell="A1">
      <selection activeCell="A65" sqref="A65"/>
    </sheetView>
  </sheetViews>
  <sheetFormatPr defaultColWidth="9.00390625" defaultRowHeight="12.75"/>
  <cols>
    <col min="1" max="1" width="46.375" style="1" customWidth="1"/>
    <col min="2" max="2" width="19.375" style="1" customWidth="1"/>
    <col min="3" max="3" width="11.625" style="1" customWidth="1"/>
    <col min="4" max="4" width="11.375" style="1" customWidth="1"/>
    <col min="5" max="10" width="9.125" style="1" customWidth="1"/>
    <col min="11" max="11" width="55.875" style="1" customWidth="1"/>
    <col min="12" max="16384" width="9.125" style="1" customWidth="1"/>
  </cols>
  <sheetData>
    <row r="1" spans="1:5" ht="43.5" customHeight="1">
      <c r="A1" s="306" t="s">
        <v>114</v>
      </c>
      <c r="B1" s="409"/>
      <c r="C1" s="409"/>
      <c r="D1" s="409"/>
      <c r="E1" s="409"/>
    </row>
    <row r="3" spans="1:4" ht="48">
      <c r="A3" s="8" t="s">
        <v>358</v>
      </c>
      <c r="B3" s="8" t="s">
        <v>359</v>
      </c>
      <c r="C3" s="7" t="s">
        <v>108</v>
      </c>
      <c r="D3" s="7" t="s">
        <v>109</v>
      </c>
    </row>
    <row r="4" spans="1:4" ht="36">
      <c r="A4" s="9" t="s">
        <v>103</v>
      </c>
      <c r="B4" s="8">
        <v>0</v>
      </c>
      <c r="C4" s="8">
        <v>6</v>
      </c>
      <c r="D4" s="8">
        <v>6</v>
      </c>
    </row>
    <row r="5" spans="1:4" ht="36">
      <c r="A5" s="9" t="s">
        <v>104</v>
      </c>
      <c r="B5" s="8">
        <v>0</v>
      </c>
      <c r="C5" s="8">
        <v>0</v>
      </c>
      <c r="D5" s="8">
        <v>0</v>
      </c>
    </row>
    <row r="6" spans="1:4" ht="24">
      <c r="A6" s="9" t="s">
        <v>105</v>
      </c>
      <c r="B6" s="8">
        <v>0</v>
      </c>
      <c r="C6" s="8">
        <v>1</v>
      </c>
      <c r="D6" s="8">
        <v>0</v>
      </c>
    </row>
    <row r="7" spans="1:4" ht="36">
      <c r="A7" s="9" t="s">
        <v>106</v>
      </c>
      <c r="B7" s="8">
        <v>0</v>
      </c>
      <c r="C7" s="8">
        <v>3</v>
      </c>
      <c r="D7" s="8">
        <v>0</v>
      </c>
    </row>
    <row r="8" spans="1:4" ht="24">
      <c r="A8" s="9" t="s">
        <v>107</v>
      </c>
      <c r="B8" s="8">
        <v>45</v>
      </c>
      <c r="C8" s="8">
        <v>66.5</v>
      </c>
      <c r="D8" s="8">
        <v>45</v>
      </c>
    </row>
    <row r="9" spans="2:4" ht="12.75">
      <c r="B9" s="81"/>
      <c r="C9" s="81"/>
      <c r="D9" s="81"/>
    </row>
    <row r="10" spans="1:4" ht="31.5" customHeight="1">
      <c r="A10" s="382" t="s">
        <v>357</v>
      </c>
      <c r="B10" s="382"/>
      <c r="C10" s="382"/>
      <c r="D10" s="382"/>
    </row>
    <row r="11" ht="12.75">
      <c r="A11" s="2"/>
    </row>
    <row r="12" spans="1:5" ht="28.5" customHeight="1">
      <c r="A12" s="5" t="s">
        <v>260</v>
      </c>
      <c r="B12" s="5" t="s">
        <v>261</v>
      </c>
      <c r="C12" s="5" t="s">
        <v>262</v>
      </c>
      <c r="D12" s="5" t="s">
        <v>259</v>
      </c>
      <c r="E12" s="5" t="s">
        <v>259</v>
      </c>
    </row>
    <row r="13" spans="1:5" ht="23.25" customHeight="1">
      <c r="A13" s="357" t="s">
        <v>27</v>
      </c>
      <c r="B13" s="25" t="s">
        <v>150</v>
      </c>
      <c r="C13" s="4">
        <v>1</v>
      </c>
      <c r="D13" s="4">
        <v>5</v>
      </c>
      <c r="E13" s="4">
        <v>5</v>
      </c>
    </row>
    <row r="14" spans="1:5" ht="29.25" customHeight="1">
      <c r="A14" s="358"/>
      <c r="B14" s="25" t="s">
        <v>151</v>
      </c>
      <c r="C14" s="4">
        <v>0</v>
      </c>
      <c r="D14" s="4"/>
      <c r="E14" s="4"/>
    </row>
    <row r="15" spans="1:5" ht="24" customHeight="1">
      <c r="A15" s="357" t="s">
        <v>28</v>
      </c>
      <c r="B15" s="25" t="s">
        <v>150</v>
      </c>
      <c r="C15" s="4">
        <v>1</v>
      </c>
      <c r="D15" s="4">
        <v>5</v>
      </c>
      <c r="E15" s="4">
        <v>5</v>
      </c>
    </row>
    <row r="16" spans="1:5" ht="23.25" customHeight="1">
      <c r="A16" s="358"/>
      <c r="B16" s="25" t="s">
        <v>151</v>
      </c>
      <c r="C16" s="4">
        <v>0</v>
      </c>
      <c r="D16" s="4"/>
      <c r="E16" s="4"/>
    </row>
    <row r="17" spans="1:5" ht="25.5" customHeight="1">
      <c r="A17" s="357" t="s">
        <v>29</v>
      </c>
      <c r="B17" s="25" t="s">
        <v>150</v>
      </c>
      <c r="C17" s="4">
        <v>1</v>
      </c>
      <c r="D17" s="4">
        <v>5</v>
      </c>
      <c r="E17" s="4">
        <v>5</v>
      </c>
    </row>
    <row r="18" spans="1:5" ht="25.5" customHeight="1">
      <c r="A18" s="358"/>
      <c r="B18" s="25" t="s">
        <v>151</v>
      </c>
      <c r="C18" s="4">
        <v>0</v>
      </c>
      <c r="D18" s="4"/>
      <c r="E18" s="4"/>
    </row>
    <row r="19" spans="1:5" ht="60" customHeight="1">
      <c r="A19" s="3" t="s">
        <v>30</v>
      </c>
      <c r="B19" s="25" t="s">
        <v>31</v>
      </c>
      <c r="C19" s="4" t="s">
        <v>110</v>
      </c>
      <c r="D19" s="4">
        <v>20</v>
      </c>
      <c r="E19" s="4">
        <f>20*0.2</f>
        <v>4</v>
      </c>
    </row>
    <row r="20" spans="1:4" ht="17.25" customHeight="1">
      <c r="A20" s="406" t="s">
        <v>153</v>
      </c>
      <c r="B20" s="407"/>
      <c r="C20" s="407"/>
      <c r="D20" s="408"/>
    </row>
    <row r="21" spans="1:4" ht="20.25" customHeight="1">
      <c r="A21" s="406" t="s">
        <v>154</v>
      </c>
      <c r="B21" s="407"/>
      <c r="C21" s="407"/>
      <c r="D21" s="408"/>
    </row>
    <row r="22" spans="1:5" ht="90">
      <c r="A22" s="3" t="s">
        <v>32</v>
      </c>
      <c r="B22" s="25" t="s">
        <v>33</v>
      </c>
      <c r="C22" s="4" t="s">
        <v>112</v>
      </c>
      <c r="D22" s="4">
        <v>10</v>
      </c>
      <c r="E22" s="269">
        <f>10*0.625</f>
        <v>6.25</v>
      </c>
    </row>
    <row r="23" spans="1:5" ht="90">
      <c r="A23" s="3" t="s">
        <v>34</v>
      </c>
      <c r="B23" s="25" t="s">
        <v>35</v>
      </c>
      <c r="C23" s="4" t="s">
        <v>152</v>
      </c>
      <c r="D23" s="4">
        <v>0</v>
      </c>
      <c r="E23" s="33" t="s">
        <v>372</v>
      </c>
    </row>
    <row r="24" spans="1:4" ht="12.75" customHeight="1">
      <c r="A24" s="406" t="s">
        <v>36</v>
      </c>
      <c r="B24" s="407"/>
      <c r="C24" s="407"/>
      <c r="D24" s="408"/>
    </row>
    <row r="25" spans="1:5" ht="90">
      <c r="A25" s="3" t="s">
        <v>37</v>
      </c>
      <c r="B25" s="25" t="s">
        <v>35</v>
      </c>
      <c r="C25" s="4" t="s">
        <v>112</v>
      </c>
      <c r="D25" s="4">
        <v>5</v>
      </c>
      <c r="E25" s="269">
        <f>5*0.625</f>
        <v>3.125</v>
      </c>
    </row>
    <row r="26" spans="1:5" ht="90">
      <c r="A26" s="3" t="s">
        <v>38</v>
      </c>
      <c r="B26" s="25" t="s">
        <v>35</v>
      </c>
      <c r="C26" s="4" t="s">
        <v>152</v>
      </c>
      <c r="D26" s="4">
        <v>0</v>
      </c>
      <c r="E26" s="33" t="s">
        <v>372</v>
      </c>
    </row>
    <row r="27" spans="1:4" ht="12.75" customHeight="1">
      <c r="A27" s="406" t="s">
        <v>39</v>
      </c>
      <c r="B27" s="407"/>
      <c r="C27" s="407"/>
      <c r="D27" s="408"/>
    </row>
    <row r="28" spans="1:4" ht="26.25" customHeight="1">
      <c r="A28" s="406" t="s">
        <v>40</v>
      </c>
      <c r="B28" s="407"/>
      <c r="C28" s="407"/>
      <c r="D28" s="408"/>
    </row>
    <row r="29" spans="1:11" ht="69.75" customHeight="1">
      <c r="A29" s="3" t="s">
        <v>41</v>
      </c>
      <c r="B29" s="25" t="s">
        <v>348</v>
      </c>
      <c r="C29" s="4" t="s">
        <v>111</v>
      </c>
      <c r="D29" s="4">
        <v>5</v>
      </c>
      <c r="E29" s="4">
        <f>5*0.516</f>
        <v>2.58</v>
      </c>
      <c r="K29" s="99"/>
    </row>
    <row r="30" spans="1:5" ht="68.25" customHeight="1">
      <c r="A30" s="3" t="s">
        <v>349</v>
      </c>
      <c r="B30" s="25" t="s">
        <v>348</v>
      </c>
      <c r="C30" s="4" t="s">
        <v>111</v>
      </c>
      <c r="D30" s="4">
        <v>5</v>
      </c>
      <c r="E30" s="4">
        <f>5*0.516</f>
        <v>2.58</v>
      </c>
    </row>
    <row r="31" spans="1:4" ht="27" customHeight="1">
      <c r="A31" s="406" t="s">
        <v>350</v>
      </c>
      <c r="B31" s="407"/>
      <c r="C31" s="407"/>
      <c r="D31" s="408"/>
    </row>
    <row r="32" spans="1:11" ht="70.5" customHeight="1">
      <c r="A32" s="3" t="s">
        <v>351</v>
      </c>
      <c r="B32" s="25" t="s">
        <v>348</v>
      </c>
      <c r="C32" s="4" t="s">
        <v>152</v>
      </c>
      <c r="D32" s="4">
        <v>10</v>
      </c>
      <c r="E32" s="4">
        <v>10</v>
      </c>
      <c r="K32" s="95"/>
    </row>
    <row r="33" spans="1:5" ht="69" customHeight="1">
      <c r="A33" s="3" t="s">
        <v>352</v>
      </c>
      <c r="B33" s="25" t="s">
        <v>348</v>
      </c>
      <c r="C33" s="4" t="s">
        <v>152</v>
      </c>
      <c r="D33" s="4">
        <v>0</v>
      </c>
      <c r="E33" s="33" t="s">
        <v>372</v>
      </c>
    </row>
    <row r="34" spans="1:11" ht="67.5" customHeight="1">
      <c r="A34" s="3" t="s">
        <v>353</v>
      </c>
      <c r="B34" s="25" t="s">
        <v>348</v>
      </c>
      <c r="C34" s="4" t="s">
        <v>152</v>
      </c>
      <c r="D34" s="4">
        <v>5</v>
      </c>
      <c r="E34" s="4">
        <v>5</v>
      </c>
      <c r="K34" s="95"/>
    </row>
    <row r="35" spans="1:5" ht="72" customHeight="1">
      <c r="A35" s="3" t="s">
        <v>354</v>
      </c>
      <c r="B35" s="25" t="s">
        <v>348</v>
      </c>
      <c r="C35" s="4" t="s">
        <v>152</v>
      </c>
      <c r="D35" s="4">
        <v>5</v>
      </c>
      <c r="E35" s="4">
        <f>5*0</f>
        <v>0</v>
      </c>
    </row>
    <row r="36" spans="1:5" ht="48">
      <c r="A36" s="53" t="s">
        <v>321</v>
      </c>
      <c r="B36" s="25"/>
      <c r="C36" s="4" t="s">
        <v>152</v>
      </c>
      <c r="D36" s="4">
        <v>0</v>
      </c>
      <c r="E36" s="33" t="s">
        <v>372</v>
      </c>
    </row>
    <row r="37" spans="1:6" ht="12.75">
      <c r="A37" s="3"/>
      <c r="B37" s="3"/>
      <c r="C37" s="4"/>
      <c r="D37" s="4">
        <f>D13+D15+D17+D19+D22+D23+D25+D26+D29+D30+D32+D33+D34+D35</f>
        <v>80</v>
      </c>
      <c r="E37" s="270">
        <f>E13+E15+E17+E19+E22+E25+E29+E30+E32+E34+E35</f>
        <v>48.535</v>
      </c>
      <c r="F37" s="125">
        <f>E37/D37*100</f>
        <v>60.668749999999996</v>
      </c>
    </row>
    <row r="39" spans="1:6" ht="165.75" customHeight="1">
      <c r="A39" s="293" t="s">
        <v>113</v>
      </c>
      <c r="B39" s="293"/>
      <c r="C39" s="293"/>
      <c r="D39" s="293"/>
      <c r="E39" s="293"/>
      <c r="F39" s="360"/>
    </row>
    <row r="41" spans="1:11" ht="12.75">
      <c r="A41" s="1" t="s">
        <v>306</v>
      </c>
      <c r="K41" s="35"/>
    </row>
    <row r="42" spans="1:11" ht="12.75">
      <c r="A42" s="1" t="s">
        <v>388</v>
      </c>
      <c r="D42" s="1" t="s">
        <v>84</v>
      </c>
      <c r="K42" s="35"/>
    </row>
    <row r="43" spans="1:11" ht="12.75">
      <c r="A43" s="2"/>
      <c r="B43" s="16"/>
      <c r="K43" s="35"/>
    </row>
    <row r="44" ht="17.25" customHeight="1">
      <c r="K44" s="35"/>
    </row>
    <row r="45" spans="11:13" ht="12.75">
      <c r="K45" s="142"/>
      <c r="M45" s="35"/>
    </row>
    <row r="47" ht="12.75">
      <c r="A47" s="37"/>
    </row>
    <row r="48" ht="12.75">
      <c r="A48" s="37"/>
    </row>
  </sheetData>
  <mergeCells count="12">
    <mergeCell ref="A24:D24"/>
    <mergeCell ref="A15:A16"/>
    <mergeCell ref="A20:D20"/>
    <mergeCell ref="A21:D21"/>
    <mergeCell ref="A1:E1"/>
    <mergeCell ref="A39:F39"/>
    <mergeCell ref="A10:D10"/>
    <mergeCell ref="A27:D27"/>
    <mergeCell ref="A28:D28"/>
    <mergeCell ref="A31:D31"/>
    <mergeCell ref="A13:A14"/>
    <mergeCell ref="A17:A18"/>
  </mergeCells>
  <printOptions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3"/>
  <sheetViews>
    <sheetView workbookViewId="0" topLeftCell="A31">
      <selection activeCell="F46" sqref="F46"/>
    </sheetView>
  </sheetViews>
  <sheetFormatPr defaultColWidth="9.00390625" defaultRowHeight="12.75"/>
  <cols>
    <col min="1" max="1" width="35.75390625" style="1" customWidth="1"/>
    <col min="2" max="2" width="16.375" style="1" customWidth="1"/>
    <col min="3" max="3" width="8.25390625" style="1" customWidth="1"/>
    <col min="4" max="4" width="5.75390625" style="1" customWidth="1"/>
    <col min="5" max="5" width="8.125" style="1" customWidth="1"/>
    <col min="6" max="6" width="6.00390625" style="1" customWidth="1"/>
    <col min="7" max="8" width="7.75390625" style="1" customWidth="1"/>
    <col min="9" max="9" width="11.375" style="1" bestFit="1" customWidth="1"/>
    <col min="10" max="16384" width="9.125" style="1" customWidth="1"/>
  </cols>
  <sheetData>
    <row r="1" spans="1:8" ht="12.75" customHeight="1">
      <c r="A1" s="322" t="s">
        <v>477</v>
      </c>
      <c r="B1" s="322"/>
      <c r="C1" s="322"/>
      <c r="D1" s="322"/>
      <c r="E1" s="322"/>
      <c r="F1" s="322"/>
      <c r="G1" s="322"/>
      <c r="H1" s="101"/>
    </row>
    <row r="2" spans="1:8" ht="51.75" customHeight="1">
      <c r="A2" s="323" t="s">
        <v>64</v>
      </c>
      <c r="B2" s="323"/>
      <c r="C2" s="323"/>
      <c r="D2" s="323"/>
      <c r="E2" s="323"/>
      <c r="F2" s="323"/>
      <c r="G2" s="323"/>
      <c r="H2" s="84"/>
    </row>
    <row r="3" spans="1:5" ht="12.75" customHeight="1">
      <c r="A3" s="36"/>
      <c r="B3" s="36"/>
      <c r="C3" s="36"/>
      <c r="D3" s="36"/>
      <c r="E3" s="36"/>
    </row>
    <row r="4" ht="12.75">
      <c r="A4" s="16" t="s">
        <v>384</v>
      </c>
    </row>
    <row r="5" spans="1:5" ht="14.25" customHeight="1">
      <c r="A5" s="313" t="s">
        <v>358</v>
      </c>
      <c r="B5" s="313" t="s">
        <v>421</v>
      </c>
      <c r="C5" s="310" t="s">
        <v>437</v>
      </c>
      <c r="D5" s="311"/>
      <c r="E5" s="312"/>
    </row>
    <row r="6" spans="1:9" ht="46.5" customHeight="1">
      <c r="A6" s="314"/>
      <c r="B6" s="314"/>
      <c r="C6" s="6" t="s">
        <v>232</v>
      </c>
      <c r="D6" s="6" t="s">
        <v>367</v>
      </c>
      <c r="E6" s="6" t="s">
        <v>422</v>
      </c>
      <c r="F6" s="6" t="s">
        <v>174</v>
      </c>
      <c r="G6" s="6" t="s">
        <v>423</v>
      </c>
      <c r="H6" s="6" t="s">
        <v>176</v>
      </c>
      <c r="I6" s="22"/>
    </row>
    <row r="7" spans="1:10" ht="24">
      <c r="A7" s="9" t="s">
        <v>235</v>
      </c>
      <c r="B7" s="7" t="s">
        <v>420</v>
      </c>
      <c r="C7" s="7" t="s">
        <v>233</v>
      </c>
      <c r="D7" s="336" t="s">
        <v>175</v>
      </c>
      <c r="E7" s="7" t="s">
        <v>234</v>
      </c>
      <c r="F7" s="336" t="s">
        <v>175</v>
      </c>
      <c r="G7" s="187" t="s">
        <v>424</v>
      </c>
      <c r="H7" s="187" t="s">
        <v>177</v>
      </c>
      <c r="I7" s="64"/>
      <c r="J7" s="64"/>
    </row>
    <row r="8" spans="1:9" ht="35.25" customHeight="1">
      <c r="A8" s="9" t="s">
        <v>236</v>
      </c>
      <c r="B8" s="7">
        <v>83</v>
      </c>
      <c r="C8" s="7">
        <v>36.5</v>
      </c>
      <c r="D8" s="337"/>
      <c r="E8" s="7">
        <v>16.95</v>
      </c>
      <c r="F8" s="337"/>
      <c r="G8" s="187" t="s">
        <v>425</v>
      </c>
      <c r="H8" s="187" t="s">
        <v>178</v>
      </c>
      <c r="I8" s="64"/>
    </row>
    <row r="9" spans="1:10" ht="47.25">
      <c r="A9" s="9" t="s">
        <v>237</v>
      </c>
      <c r="B9" s="7">
        <v>111.6</v>
      </c>
      <c r="C9" s="7">
        <v>69.5</v>
      </c>
      <c r="D9" s="337"/>
      <c r="E9" s="7">
        <v>17.75</v>
      </c>
      <c r="F9" s="337"/>
      <c r="G9" s="187" t="s">
        <v>426</v>
      </c>
      <c r="H9" s="187" t="s">
        <v>179</v>
      </c>
      <c r="I9" s="64"/>
      <c r="J9" s="193"/>
    </row>
    <row r="10" spans="1:11" ht="48">
      <c r="A10" s="9" t="s">
        <v>238</v>
      </c>
      <c r="B10" s="7">
        <v>181.7</v>
      </c>
      <c r="C10" s="7">
        <v>0</v>
      </c>
      <c r="D10" s="338"/>
      <c r="E10" s="7">
        <v>5.3</v>
      </c>
      <c r="F10" s="338"/>
      <c r="G10" s="187" t="s">
        <v>427</v>
      </c>
      <c r="H10" s="187" t="s">
        <v>180</v>
      </c>
      <c r="J10" s="64"/>
      <c r="K10" s="193"/>
    </row>
    <row r="11" spans="1:5" ht="21.75" customHeight="1">
      <c r="A11" s="309" t="s">
        <v>417</v>
      </c>
      <c r="B11" s="309"/>
      <c r="C11" s="309"/>
      <c r="D11" s="309"/>
      <c r="E11" s="309"/>
    </row>
    <row r="12" ht="12.75">
      <c r="A12" s="2"/>
    </row>
    <row r="13" spans="1:5" ht="36.75" customHeight="1">
      <c r="A13" s="5" t="s">
        <v>260</v>
      </c>
      <c r="B13" s="5" t="s">
        <v>261</v>
      </c>
      <c r="C13" s="5" t="s">
        <v>262</v>
      </c>
      <c r="D13" s="5" t="s">
        <v>380</v>
      </c>
      <c r="E13" s="21" t="s">
        <v>375</v>
      </c>
    </row>
    <row r="14" spans="1:5" ht="23.25" customHeight="1">
      <c r="A14" s="339" t="s">
        <v>27</v>
      </c>
      <c r="B14" s="25" t="s">
        <v>150</v>
      </c>
      <c r="C14" s="4">
        <v>1</v>
      </c>
      <c r="D14" s="4">
        <v>5</v>
      </c>
      <c r="E14" s="19">
        <v>5</v>
      </c>
    </row>
    <row r="15" spans="1:5" ht="43.5" customHeight="1">
      <c r="A15" s="317"/>
      <c r="B15" s="25" t="s">
        <v>151</v>
      </c>
      <c r="C15" s="4">
        <v>0</v>
      </c>
      <c r="D15" s="4"/>
      <c r="E15" s="19"/>
    </row>
    <row r="16" spans="1:5" ht="24" customHeight="1">
      <c r="A16" s="339" t="s">
        <v>28</v>
      </c>
      <c r="B16" s="25" t="s">
        <v>150</v>
      </c>
      <c r="C16" s="4">
        <v>1</v>
      </c>
      <c r="D16" s="4">
        <v>5</v>
      </c>
      <c r="E16" s="19">
        <v>5</v>
      </c>
    </row>
    <row r="17" spans="1:5" ht="31.5" customHeight="1">
      <c r="A17" s="317"/>
      <c r="B17" s="25" t="s">
        <v>151</v>
      </c>
      <c r="C17" s="4">
        <v>0</v>
      </c>
      <c r="D17" s="4"/>
      <c r="E17" s="19"/>
    </row>
    <row r="18" spans="1:5" ht="25.5" customHeight="1">
      <c r="A18" s="339" t="s">
        <v>29</v>
      </c>
      <c r="B18" s="25" t="s">
        <v>150</v>
      </c>
      <c r="C18" s="4">
        <v>1</v>
      </c>
      <c r="D18" s="4">
        <v>5</v>
      </c>
      <c r="E18" s="19">
        <v>5</v>
      </c>
    </row>
    <row r="19" spans="1:5" ht="33.75" customHeight="1">
      <c r="A19" s="317"/>
      <c r="B19" s="25" t="s">
        <v>151</v>
      </c>
      <c r="C19" s="4">
        <v>0</v>
      </c>
      <c r="D19" s="4"/>
      <c r="E19" s="19"/>
    </row>
    <row r="20" spans="1:5" ht="54.75" customHeight="1">
      <c r="A20" s="25" t="s">
        <v>30</v>
      </c>
      <c r="B20" s="25" t="s">
        <v>31</v>
      </c>
      <c r="C20" s="4" t="s">
        <v>181</v>
      </c>
      <c r="D20" s="4">
        <v>20</v>
      </c>
      <c r="E20" s="19">
        <f>D20*0.6</f>
        <v>12</v>
      </c>
    </row>
    <row r="21" spans="1:5" ht="17.25" customHeight="1">
      <c r="A21" s="325" t="s">
        <v>153</v>
      </c>
      <c r="B21" s="326"/>
      <c r="C21" s="326"/>
      <c r="D21" s="327"/>
      <c r="E21" s="19"/>
    </row>
    <row r="22" spans="1:13" ht="24" customHeight="1">
      <c r="A22" s="328" t="s">
        <v>154</v>
      </c>
      <c r="B22" s="329"/>
      <c r="C22" s="329"/>
      <c r="D22" s="329"/>
      <c r="E22" s="330"/>
      <c r="J22" s="28"/>
      <c r="K22" s="28"/>
      <c r="L22" s="28"/>
      <c r="M22" s="28"/>
    </row>
    <row r="23" spans="1:12" ht="55.5" customHeight="1">
      <c r="A23" s="53" t="s">
        <v>32</v>
      </c>
      <c r="B23" s="82" t="s">
        <v>33</v>
      </c>
      <c r="C23" s="4" t="s">
        <v>428</v>
      </c>
      <c r="D23" s="4">
        <v>10</v>
      </c>
      <c r="E23" s="27">
        <f>D23*0.988</f>
        <v>9.879999999999999</v>
      </c>
      <c r="F23" s="28"/>
      <c r="G23" s="161"/>
      <c r="H23" s="161"/>
      <c r="I23" s="154"/>
      <c r="J23" s="335"/>
      <c r="K23" s="335"/>
      <c r="L23" s="335"/>
    </row>
    <row r="24" spans="1:12" ht="57" customHeight="1">
      <c r="A24" s="53" t="s">
        <v>34</v>
      </c>
      <c r="B24" s="82" t="s">
        <v>35</v>
      </c>
      <c r="C24" s="4" t="s">
        <v>205</v>
      </c>
      <c r="D24" s="4">
        <v>5</v>
      </c>
      <c r="E24" s="19">
        <f>5*0.67</f>
        <v>3.35</v>
      </c>
      <c r="F24" s="28"/>
      <c r="G24" s="64"/>
      <c r="H24" s="64"/>
      <c r="I24" s="199"/>
      <c r="J24" s="331"/>
      <c r="K24" s="331"/>
      <c r="L24" s="331"/>
    </row>
    <row r="25" spans="1:5" ht="24" customHeight="1">
      <c r="A25" s="328" t="s">
        <v>36</v>
      </c>
      <c r="B25" s="329"/>
      <c r="C25" s="329"/>
      <c r="D25" s="329"/>
      <c r="E25" s="330"/>
    </row>
    <row r="26" spans="1:12" ht="45" customHeight="1">
      <c r="A26" s="25" t="s">
        <v>37</v>
      </c>
      <c r="B26" s="82" t="s">
        <v>35</v>
      </c>
      <c r="C26" s="4" t="s">
        <v>429</v>
      </c>
      <c r="D26" s="4">
        <v>5</v>
      </c>
      <c r="E26" s="27">
        <f>D26*0.659</f>
        <v>3.295</v>
      </c>
      <c r="I26" s="60"/>
      <c r="J26" s="318"/>
      <c r="K26" s="318"/>
      <c r="L26" s="318"/>
    </row>
    <row r="27" spans="1:12" ht="42" customHeight="1">
      <c r="A27" s="25" t="s">
        <v>38</v>
      </c>
      <c r="B27" s="82" t="s">
        <v>35</v>
      </c>
      <c r="C27" s="4" t="s">
        <v>206</v>
      </c>
      <c r="D27" s="4">
        <v>5</v>
      </c>
      <c r="E27" s="201">
        <f>D27*0.74</f>
        <v>3.7</v>
      </c>
      <c r="F27" s="28"/>
      <c r="G27" s="64"/>
      <c r="H27" s="64"/>
      <c r="I27" s="199"/>
      <c r="J27" s="331"/>
      <c r="K27" s="331"/>
      <c r="L27" s="331"/>
    </row>
    <row r="28" spans="1:12" ht="27" customHeight="1">
      <c r="A28" s="325" t="s">
        <v>39</v>
      </c>
      <c r="B28" s="326"/>
      <c r="C28" s="326"/>
      <c r="D28" s="326"/>
      <c r="E28" s="327"/>
      <c r="J28" s="28"/>
      <c r="K28" s="200"/>
      <c r="L28" s="200"/>
    </row>
    <row r="29" spans="1:9" ht="26.25" customHeight="1">
      <c r="A29" s="328" t="s">
        <v>40</v>
      </c>
      <c r="B29" s="329"/>
      <c r="C29" s="329"/>
      <c r="D29" s="329"/>
      <c r="E29" s="330"/>
      <c r="I29" s="60"/>
    </row>
    <row r="30" spans="1:12" ht="43.5" customHeight="1">
      <c r="A30" s="25" t="s">
        <v>41</v>
      </c>
      <c r="B30" s="82" t="s">
        <v>348</v>
      </c>
      <c r="C30" s="4" t="s">
        <v>430</v>
      </c>
      <c r="D30" s="4">
        <v>5</v>
      </c>
      <c r="E30" s="27">
        <f>D30*0.825</f>
        <v>4.125</v>
      </c>
      <c r="I30" s="60"/>
      <c r="J30" s="335"/>
      <c r="K30" s="335"/>
      <c r="L30" s="335"/>
    </row>
    <row r="31" spans="1:9" ht="44.25" customHeight="1">
      <c r="A31" s="25" t="s">
        <v>349</v>
      </c>
      <c r="B31" s="82" t="s">
        <v>348</v>
      </c>
      <c r="C31" s="4" t="s">
        <v>433</v>
      </c>
      <c r="D31" s="4">
        <v>5</v>
      </c>
      <c r="E31" s="27">
        <f>D31*0.912</f>
        <v>4.5600000000000005</v>
      </c>
      <c r="I31" s="188"/>
    </row>
    <row r="32" spans="1:5" ht="27" customHeight="1">
      <c r="A32" s="328" t="s">
        <v>350</v>
      </c>
      <c r="B32" s="329"/>
      <c r="C32" s="329"/>
      <c r="D32" s="329"/>
      <c r="E32" s="330"/>
    </row>
    <row r="33" spans="1:5" ht="58.5">
      <c r="A33" s="25" t="s">
        <v>351</v>
      </c>
      <c r="B33" s="82" t="s">
        <v>348</v>
      </c>
      <c r="C33" s="4" t="s">
        <v>431</v>
      </c>
      <c r="D33" s="4">
        <v>10</v>
      </c>
      <c r="E33" s="27">
        <f>D33*0.915</f>
        <v>9.15</v>
      </c>
    </row>
    <row r="34" spans="1:5" ht="58.5">
      <c r="A34" s="25" t="s">
        <v>352</v>
      </c>
      <c r="B34" s="82" t="s">
        <v>348</v>
      </c>
      <c r="C34" s="4" t="s">
        <v>376</v>
      </c>
      <c r="D34" s="4"/>
      <c r="E34" s="33" t="s">
        <v>372</v>
      </c>
    </row>
    <row r="35" spans="1:5" ht="48" customHeight="1">
      <c r="A35" s="25" t="s">
        <v>353</v>
      </c>
      <c r="B35" s="82" t="s">
        <v>348</v>
      </c>
      <c r="C35" s="4" t="s">
        <v>432</v>
      </c>
      <c r="D35" s="4">
        <v>5</v>
      </c>
      <c r="E35" s="15">
        <f>D35*1</f>
        <v>5</v>
      </c>
    </row>
    <row r="36" spans="1:5" ht="48.75" customHeight="1">
      <c r="A36" s="25" t="s">
        <v>354</v>
      </c>
      <c r="B36" s="82" t="s">
        <v>348</v>
      </c>
      <c r="C36" s="4" t="s">
        <v>152</v>
      </c>
      <c r="D36" s="4"/>
      <c r="E36" s="33" t="s">
        <v>372</v>
      </c>
    </row>
    <row r="37" spans="1:5" ht="43.5" customHeight="1">
      <c r="A37" s="25" t="s">
        <v>355</v>
      </c>
      <c r="B37" s="82" t="s">
        <v>356</v>
      </c>
      <c r="C37" s="4" t="s">
        <v>152</v>
      </c>
      <c r="D37" s="4"/>
      <c r="E37" s="33" t="s">
        <v>372</v>
      </c>
    </row>
    <row r="38" spans="1:6" ht="12.75">
      <c r="A38" s="20" t="s">
        <v>374</v>
      </c>
      <c r="B38" s="17"/>
      <c r="C38" s="17"/>
      <c r="D38" s="65">
        <f>D37+D36+D35+D34+D33+D31+D30+D27+D26+D24+D23+D20+D18+D16+D14</f>
        <v>85</v>
      </c>
      <c r="E38" s="65">
        <f>E35+E33+E31+E24++E23+E20+E19+E16+E14+E30+E27+E26</f>
        <v>65.06</v>
      </c>
      <c r="F38" s="93">
        <f>E38/D38*100</f>
        <v>76.54117647058824</v>
      </c>
    </row>
    <row r="39" spans="1:5" ht="12.75">
      <c r="A39" s="26"/>
      <c r="B39" s="43"/>
      <c r="C39" s="43"/>
      <c r="D39" s="26"/>
      <c r="E39" s="26"/>
    </row>
    <row r="40" spans="1:5" ht="12.75">
      <c r="A40" s="26" t="s">
        <v>26</v>
      </c>
      <c r="B40" s="43"/>
      <c r="C40" s="43"/>
      <c r="D40" s="26"/>
      <c r="E40" s="26"/>
    </row>
    <row r="41" spans="1:9" ht="80.25" customHeight="1">
      <c r="A41" s="315" t="s">
        <v>115</v>
      </c>
      <c r="B41" s="315"/>
      <c r="C41" s="315"/>
      <c r="D41" s="315"/>
      <c r="E41" s="315"/>
      <c r="F41" s="315"/>
      <c r="G41" s="315"/>
      <c r="H41" s="315"/>
      <c r="I41" s="56"/>
    </row>
    <row r="43" spans="1:4" ht="25.5">
      <c r="A43" s="22" t="s">
        <v>419</v>
      </c>
      <c r="D43" s="1" t="s">
        <v>84</v>
      </c>
    </row>
    <row r="45" ht="11.25" customHeight="1"/>
  </sheetData>
  <mergeCells count="23">
    <mergeCell ref="A32:E32"/>
    <mergeCell ref="A22:E22"/>
    <mergeCell ref="A28:E28"/>
    <mergeCell ref="A41:H41"/>
    <mergeCell ref="A1:G1"/>
    <mergeCell ref="J23:L23"/>
    <mergeCell ref="J26:L26"/>
    <mergeCell ref="A25:E25"/>
    <mergeCell ref="A16:A17"/>
    <mergeCell ref="A11:E11"/>
    <mergeCell ref="C5:E5"/>
    <mergeCell ref="A5:A6"/>
    <mergeCell ref="B5:B6"/>
    <mergeCell ref="A14:A15"/>
    <mergeCell ref="J30:L30"/>
    <mergeCell ref="A2:G2"/>
    <mergeCell ref="D7:D10"/>
    <mergeCell ref="F7:F10"/>
    <mergeCell ref="J24:L24"/>
    <mergeCell ref="J27:L27"/>
    <mergeCell ref="A18:A19"/>
    <mergeCell ref="A21:D21"/>
    <mergeCell ref="A29:E29"/>
  </mergeCells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41"/>
  <sheetViews>
    <sheetView workbookViewId="0" topLeftCell="A1">
      <selection activeCell="A40" sqref="A40:G42"/>
    </sheetView>
  </sheetViews>
  <sheetFormatPr defaultColWidth="9.00390625" defaultRowHeight="12.75"/>
  <cols>
    <col min="1" max="1" width="39.00390625" style="0" customWidth="1"/>
    <col min="2" max="2" width="15.25390625" style="0" customWidth="1"/>
    <col min="4" max="4" width="9.75390625" style="0" customWidth="1"/>
    <col min="5" max="5" width="8.25390625" style="0" customWidth="1"/>
    <col min="6" max="6" width="10.75390625" style="0" customWidth="1"/>
    <col min="7" max="7" width="6.875" style="0" customWidth="1"/>
    <col min="8" max="8" width="8.125" style="0" customWidth="1"/>
    <col min="10" max="10" width="14.25390625" style="0" customWidth="1"/>
  </cols>
  <sheetData>
    <row r="1" spans="1:13" ht="12.75" customHeight="1">
      <c r="A1" s="322" t="s">
        <v>477</v>
      </c>
      <c r="B1" s="322"/>
      <c r="C1" s="322"/>
      <c r="D1" s="322"/>
      <c r="E1" s="322"/>
      <c r="F1" s="155"/>
      <c r="G1" s="155"/>
      <c r="H1" s="155"/>
      <c r="I1" s="155"/>
      <c r="J1" s="155"/>
      <c r="K1" s="155"/>
      <c r="L1" s="155"/>
      <c r="M1" s="155"/>
    </row>
    <row r="2" spans="1:13" ht="57" customHeight="1">
      <c r="A2" s="323" t="s">
        <v>231</v>
      </c>
      <c r="B2" s="323"/>
      <c r="C2" s="323"/>
      <c r="D2" s="323"/>
      <c r="E2" s="323"/>
      <c r="F2" s="76"/>
      <c r="G2" s="76"/>
      <c r="H2" s="76"/>
      <c r="I2" s="76"/>
      <c r="J2" s="76"/>
      <c r="K2" s="76"/>
      <c r="L2" s="76"/>
      <c r="M2" s="76"/>
    </row>
    <row r="3" s="1" customFormat="1" ht="12.75">
      <c r="A3" s="16" t="s">
        <v>384</v>
      </c>
    </row>
    <row r="4" spans="1:7" s="1" customFormat="1" ht="60.75" customHeight="1">
      <c r="A4" s="8" t="s">
        <v>358</v>
      </c>
      <c r="B4" s="8" t="s">
        <v>359</v>
      </c>
      <c r="C4" s="54" t="s">
        <v>478</v>
      </c>
      <c r="D4" s="8" t="s">
        <v>408</v>
      </c>
      <c r="E4" s="8" t="s">
        <v>409</v>
      </c>
      <c r="F4" s="8" t="s">
        <v>410</v>
      </c>
      <c r="G4" s="8" t="s">
        <v>411</v>
      </c>
    </row>
    <row r="5" spans="1:13" s="1" customFormat="1" ht="65.25" customHeight="1">
      <c r="A5" s="9" t="s">
        <v>479</v>
      </c>
      <c r="B5" s="7">
        <v>0</v>
      </c>
      <c r="C5" s="7">
        <v>163.5</v>
      </c>
      <c r="D5" s="336" t="s">
        <v>418</v>
      </c>
      <c r="E5" s="7">
        <v>0</v>
      </c>
      <c r="F5" s="336" t="s">
        <v>418</v>
      </c>
      <c r="G5" s="13">
        <v>1.553</v>
      </c>
      <c r="H5" s="182"/>
      <c r="I5" s="79"/>
      <c r="J5" s="332"/>
      <c r="K5" s="332"/>
      <c r="L5" s="47"/>
      <c r="M5" s="47"/>
    </row>
    <row r="6" spans="1:13" s="1" customFormat="1" ht="24">
      <c r="A6" s="75" t="s">
        <v>143</v>
      </c>
      <c r="B6" s="7">
        <v>90</v>
      </c>
      <c r="C6" s="153">
        <v>1.76</v>
      </c>
      <c r="D6" s="338"/>
      <c r="E6" s="7">
        <v>0.4</v>
      </c>
      <c r="F6" s="338"/>
      <c r="G6" s="17">
        <v>0</v>
      </c>
      <c r="H6" s="183"/>
      <c r="I6" s="79"/>
      <c r="J6" s="332"/>
      <c r="K6" s="332"/>
      <c r="L6" s="47"/>
      <c r="M6" s="47"/>
    </row>
    <row r="7" spans="1:6" s="1" customFormat="1" ht="20.25" customHeight="1">
      <c r="A7" s="319" t="s">
        <v>417</v>
      </c>
      <c r="B7" s="319"/>
      <c r="C7" s="319"/>
      <c r="D7" s="319"/>
      <c r="E7" s="319"/>
      <c r="F7" s="319"/>
    </row>
    <row r="8" spans="1:5" s="1" customFormat="1" ht="36.75" customHeight="1">
      <c r="A8" s="5" t="s">
        <v>260</v>
      </c>
      <c r="B8" s="5" t="s">
        <v>261</v>
      </c>
      <c r="C8" s="5" t="s">
        <v>262</v>
      </c>
      <c r="D8" s="5" t="s">
        <v>380</v>
      </c>
      <c r="E8" s="12" t="s">
        <v>375</v>
      </c>
    </row>
    <row r="9" spans="1:5" s="1" customFormat="1" ht="23.25" customHeight="1">
      <c r="A9" s="339" t="s">
        <v>27</v>
      </c>
      <c r="B9" s="25" t="s">
        <v>150</v>
      </c>
      <c r="C9" s="4">
        <v>1</v>
      </c>
      <c r="D9" s="4">
        <v>5</v>
      </c>
      <c r="E9" s="19">
        <v>5</v>
      </c>
    </row>
    <row r="10" spans="1:5" s="1" customFormat="1" ht="36" customHeight="1">
      <c r="A10" s="317"/>
      <c r="B10" s="25" t="s">
        <v>151</v>
      </c>
      <c r="C10" s="4">
        <v>0</v>
      </c>
      <c r="D10" s="4"/>
      <c r="E10" s="19"/>
    </row>
    <row r="11" spans="1:5" s="1" customFormat="1" ht="24" customHeight="1">
      <c r="A11" s="339" t="s">
        <v>28</v>
      </c>
      <c r="B11" s="25" t="s">
        <v>150</v>
      </c>
      <c r="C11" s="4">
        <v>1</v>
      </c>
      <c r="D11" s="4">
        <v>5</v>
      </c>
      <c r="E11" s="19">
        <v>5</v>
      </c>
    </row>
    <row r="12" spans="1:5" s="1" customFormat="1" ht="21.75" customHeight="1">
      <c r="A12" s="317"/>
      <c r="B12" s="25" t="s">
        <v>151</v>
      </c>
      <c r="C12" s="4">
        <v>0</v>
      </c>
      <c r="D12" s="4"/>
      <c r="E12" s="19"/>
    </row>
    <row r="13" spans="1:12" s="1" customFormat="1" ht="25.5" customHeight="1">
      <c r="A13" s="339" t="s">
        <v>29</v>
      </c>
      <c r="B13" s="25" t="s">
        <v>150</v>
      </c>
      <c r="C13" s="4">
        <v>1</v>
      </c>
      <c r="D13" s="4">
        <v>5</v>
      </c>
      <c r="E13" s="19">
        <v>5</v>
      </c>
      <c r="H13" s="332"/>
      <c r="I13" s="332"/>
      <c r="J13" s="332"/>
      <c r="K13" s="332"/>
      <c r="L13" s="47"/>
    </row>
    <row r="14" spans="1:12" s="1" customFormat="1" ht="33.75" customHeight="1">
      <c r="A14" s="317"/>
      <c r="B14" s="25" t="s">
        <v>151</v>
      </c>
      <c r="C14" s="4">
        <v>0</v>
      </c>
      <c r="D14" s="4"/>
      <c r="E14" s="19"/>
      <c r="H14" s="332"/>
      <c r="I14" s="332"/>
      <c r="J14" s="332"/>
      <c r="K14" s="332"/>
      <c r="L14" s="47"/>
    </row>
    <row r="15" spans="1:11" s="1" customFormat="1" ht="90" customHeight="1">
      <c r="A15" s="25" t="s">
        <v>30</v>
      </c>
      <c r="B15" s="25" t="s">
        <v>31</v>
      </c>
      <c r="C15" s="4" t="s">
        <v>245</v>
      </c>
      <c r="D15" s="4">
        <v>20</v>
      </c>
      <c r="E15" s="19">
        <f>D15*0</f>
        <v>0</v>
      </c>
      <c r="H15" s="332"/>
      <c r="I15" s="332"/>
      <c r="J15" s="332"/>
      <c r="K15" s="332"/>
    </row>
    <row r="16" spans="1:11" s="1" customFormat="1" ht="14.25" customHeight="1">
      <c r="A16" s="325" t="s">
        <v>153</v>
      </c>
      <c r="B16" s="326"/>
      <c r="C16" s="326"/>
      <c r="D16" s="327"/>
      <c r="E16" s="19"/>
      <c r="H16" s="47"/>
      <c r="I16" s="47"/>
      <c r="J16" s="47"/>
      <c r="K16" s="47"/>
    </row>
    <row r="17" spans="1:5" s="1" customFormat="1" ht="17.25" customHeight="1">
      <c r="A17" s="328" t="s">
        <v>154</v>
      </c>
      <c r="B17" s="329"/>
      <c r="C17" s="329"/>
      <c r="D17" s="329"/>
      <c r="E17" s="330"/>
    </row>
    <row r="18" spans="1:12" s="1" customFormat="1" ht="61.5" customHeight="1">
      <c r="A18" s="53" t="s">
        <v>32</v>
      </c>
      <c r="B18" s="82" t="s">
        <v>33</v>
      </c>
      <c r="C18" s="4" t="s">
        <v>412</v>
      </c>
      <c r="D18" s="4">
        <v>10</v>
      </c>
      <c r="E18" s="27">
        <f>D18*0.28</f>
        <v>2.8000000000000003</v>
      </c>
      <c r="F18" s="184"/>
      <c r="G18" s="154"/>
      <c r="H18" s="186"/>
      <c r="I18" s="316"/>
      <c r="J18" s="316"/>
      <c r="K18" s="316"/>
      <c r="L18" s="161"/>
    </row>
    <row r="19" spans="1:11" s="1" customFormat="1" ht="57" customHeight="1">
      <c r="A19" s="53" t="s">
        <v>34</v>
      </c>
      <c r="B19" s="82" t="s">
        <v>35</v>
      </c>
      <c r="C19" s="4" t="s">
        <v>152</v>
      </c>
      <c r="D19" s="4"/>
      <c r="E19" s="8" t="s">
        <v>372</v>
      </c>
      <c r="G19" s="28"/>
      <c r="H19" s="28"/>
      <c r="I19" s="316"/>
      <c r="J19" s="316"/>
      <c r="K19" s="316"/>
    </row>
    <row r="20" spans="1:5" s="1" customFormat="1" ht="15" customHeight="1">
      <c r="A20" s="328" t="s">
        <v>36</v>
      </c>
      <c r="B20" s="329"/>
      <c r="C20" s="329"/>
      <c r="D20" s="329"/>
      <c r="E20" s="330"/>
    </row>
    <row r="21" spans="1:11" s="1" customFormat="1" ht="58.5" customHeight="1">
      <c r="A21" s="25" t="s">
        <v>37</v>
      </c>
      <c r="B21" s="82" t="s">
        <v>35</v>
      </c>
      <c r="C21" s="4" t="s">
        <v>413</v>
      </c>
      <c r="D21" s="4">
        <v>5</v>
      </c>
      <c r="E21" s="27">
        <f>D21*0.556</f>
        <v>2.7800000000000002</v>
      </c>
      <c r="F21" s="60"/>
      <c r="H21" s="60"/>
      <c r="I21" s="316"/>
      <c r="J21" s="316"/>
      <c r="K21" s="316"/>
    </row>
    <row r="22" spans="1:10" s="1" customFormat="1" ht="61.5" customHeight="1">
      <c r="A22" s="25" t="s">
        <v>38</v>
      </c>
      <c r="B22" s="82" t="s">
        <v>35</v>
      </c>
      <c r="C22" s="4" t="s">
        <v>152</v>
      </c>
      <c r="D22" s="4"/>
      <c r="E22" s="8" t="s">
        <v>372</v>
      </c>
      <c r="G22" s="28"/>
      <c r="H22" s="28"/>
      <c r="I22" s="28"/>
      <c r="J22" s="64"/>
    </row>
    <row r="23" spans="1:8" s="1" customFormat="1" ht="15.75" customHeight="1">
      <c r="A23" s="304" t="s">
        <v>39</v>
      </c>
      <c r="B23" s="305"/>
      <c r="C23" s="305"/>
      <c r="D23" s="305"/>
      <c r="E23" s="305"/>
      <c r="F23" s="305"/>
      <c r="G23" s="305"/>
      <c r="H23" s="61"/>
    </row>
    <row r="24" spans="1:8" s="1" customFormat="1" ht="21" customHeight="1">
      <c r="A24" s="302" t="s">
        <v>40</v>
      </c>
      <c r="B24" s="303"/>
      <c r="C24" s="303"/>
      <c r="D24" s="303"/>
      <c r="E24" s="303"/>
      <c r="F24" s="303"/>
      <c r="G24" s="303"/>
      <c r="H24" s="185"/>
    </row>
    <row r="25" spans="1:8" s="1" customFormat="1" ht="43.5" customHeight="1">
      <c r="A25" s="3" t="s">
        <v>41</v>
      </c>
      <c r="B25" s="82" t="s">
        <v>348</v>
      </c>
      <c r="C25" s="4" t="s">
        <v>435</v>
      </c>
      <c r="D25" s="4">
        <v>5</v>
      </c>
      <c r="E25" s="27">
        <f>D25*0.806</f>
        <v>4.03</v>
      </c>
      <c r="H25" s="60"/>
    </row>
    <row r="26" spans="1:8" s="1" customFormat="1" ht="74.25" customHeight="1">
      <c r="A26" s="3" t="s">
        <v>349</v>
      </c>
      <c r="B26" s="82" t="s">
        <v>348</v>
      </c>
      <c r="C26" s="4" t="s">
        <v>434</v>
      </c>
      <c r="D26" s="4">
        <v>5</v>
      </c>
      <c r="E26" s="27">
        <f>D26*0.842</f>
        <v>4.21</v>
      </c>
      <c r="H26" s="60"/>
    </row>
    <row r="27" spans="1:8" s="1" customFormat="1" ht="27" customHeight="1">
      <c r="A27" s="302" t="s">
        <v>350</v>
      </c>
      <c r="B27" s="303"/>
      <c r="C27" s="303"/>
      <c r="D27" s="303"/>
      <c r="E27" s="303"/>
      <c r="F27" s="303"/>
      <c r="G27" s="303"/>
      <c r="H27" s="185"/>
    </row>
    <row r="28" spans="1:5" s="1" customFormat="1" ht="68.25">
      <c r="A28" s="25" t="s">
        <v>351</v>
      </c>
      <c r="B28" s="82" t="s">
        <v>348</v>
      </c>
      <c r="C28" s="4" t="s">
        <v>414</v>
      </c>
      <c r="D28" s="4">
        <v>10</v>
      </c>
      <c r="E28" s="27">
        <f>10*0.86</f>
        <v>8.6</v>
      </c>
    </row>
    <row r="29" spans="1:5" s="1" customFormat="1" ht="68.25">
      <c r="A29" s="25" t="s">
        <v>352</v>
      </c>
      <c r="B29" s="82" t="s">
        <v>348</v>
      </c>
      <c r="C29" s="4" t="s">
        <v>376</v>
      </c>
      <c r="D29" s="4"/>
      <c r="E29" s="33" t="s">
        <v>372</v>
      </c>
    </row>
    <row r="30" spans="1:5" s="1" customFormat="1" ht="70.5" customHeight="1">
      <c r="A30" s="25" t="s">
        <v>353</v>
      </c>
      <c r="B30" s="82" t="s">
        <v>348</v>
      </c>
      <c r="C30" s="4" t="s">
        <v>415</v>
      </c>
      <c r="D30" s="4">
        <v>5</v>
      </c>
      <c r="E30" s="113">
        <f>D30*0.236</f>
        <v>1.18</v>
      </c>
    </row>
    <row r="31" spans="1:5" s="1" customFormat="1" ht="68.25" customHeight="1">
      <c r="A31" s="25" t="s">
        <v>354</v>
      </c>
      <c r="B31" s="82" t="s">
        <v>348</v>
      </c>
      <c r="C31" s="4" t="s">
        <v>152</v>
      </c>
      <c r="D31" s="4"/>
      <c r="E31" s="33" t="s">
        <v>372</v>
      </c>
    </row>
    <row r="32" spans="1:5" s="1" customFormat="1" ht="48.75" customHeight="1">
      <c r="A32" s="25" t="s">
        <v>355</v>
      </c>
      <c r="B32" s="82" t="s">
        <v>356</v>
      </c>
      <c r="C32" s="4" t="s">
        <v>152</v>
      </c>
      <c r="D32" s="4"/>
      <c r="E32" s="33" t="s">
        <v>372</v>
      </c>
    </row>
    <row r="33" spans="1:9" s="1" customFormat="1" ht="12.75">
      <c r="A33" s="20" t="s">
        <v>374</v>
      </c>
      <c r="B33" s="17"/>
      <c r="C33" s="17"/>
      <c r="D33" s="65">
        <f>D32+D31+D30+D29+D28+D26+D25+D22+D21+D19+D18+D15+D13+D11+D9</f>
        <v>75</v>
      </c>
      <c r="E33" s="65">
        <f>E30+E28+E26+E18+E15+E14+E11+E9+E25+E21+E13</f>
        <v>38.6</v>
      </c>
      <c r="F33" s="93">
        <f>E33/D33*100</f>
        <v>51.46666666666667</v>
      </c>
      <c r="G33" s="93"/>
      <c r="H33" s="93"/>
      <c r="I33" s="93"/>
    </row>
    <row r="34" spans="1:5" s="1" customFormat="1" ht="12.75">
      <c r="A34" s="26"/>
      <c r="B34" s="43"/>
      <c r="C34" s="43"/>
      <c r="D34" s="26"/>
      <c r="E34" s="26"/>
    </row>
    <row r="35" spans="1:5" s="1" customFormat="1" ht="12.75">
      <c r="A35" s="26" t="s">
        <v>26</v>
      </c>
      <c r="B35" s="43"/>
      <c r="C35" s="43"/>
      <c r="D35" s="26"/>
      <c r="E35" s="26"/>
    </row>
    <row r="36" spans="1:11" s="1" customFormat="1" ht="127.5" customHeight="1">
      <c r="A36" s="315" t="s">
        <v>318</v>
      </c>
      <c r="B36" s="315"/>
      <c r="C36" s="315"/>
      <c r="D36" s="315"/>
      <c r="E36" s="315"/>
      <c r="F36" s="315"/>
      <c r="G36" s="315"/>
      <c r="H36" s="45"/>
      <c r="K36" s="56"/>
    </row>
    <row r="37" s="1" customFormat="1" ht="12.75"/>
    <row r="38" spans="1:6" s="1" customFormat="1" ht="25.5">
      <c r="A38" s="22" t="s">
        <v>416</v>
      </c>
      <c r="F38" s="1" t="s">
        <v>84</v>
      </c>
    </row>
    <row r="39" s="1" customFormat="1" ht="12.75">
      <c r="A39" s="22"/>
    </row>
    <row r="40" s="1" customFormat="1" ht="12.75">
      <c r="A40" s="79"/>
    </row>
    <row r="41" s="1" customFormat="1" ht="12.75">
      <c r="A41" s="22"/>
    </row>
    <row r="42" s="1" customFormat="1" ht="12.75"/>
    <row r="43" s="1" customFormat="1" ht="12.75"/>
    <row r="44" s="1" customFormat="1" ht="12.75"/>
    <row r="45" s="1" customFormat="1" ht="12.75"/>
    <row r="46" s="1" customFormat="1" ht="12.75"/>
  </sheetData>
  <mergeCells count="21">
    <mergeCell ref="A2:E2"/>
    <mergeCell ref="A1:E1"/>
    <mergeCell ref="A16:D16"/>
    <mergeCell ref="A17:E17"/>
    <mergeCell ref="A7:F7"/>
    <mergeCell ref="A9:A10"/>
    <mergeCell ref="F5:F6"/>
    <mergeCell ref="D5:D6"/>
    <mergeCell ref="A11:A12"/>
    <mergeCell ref="A13:A14"/>
    <mergeCell ref="I18:K18"/>
    <mergeCell ref="H13:K14"/>
    <mergeCell ref="H15:K15"/>
    <mergeCell ref="J5:K6"/>
    <mergeCell ref="I19:K19"/>
    <mergeCell ref="I21:K21"/>
    <mergeCell ref="A36:G36"/>
    <mergeCell ref="A27:G27"/>
    <mergeCell ref="A24:G24"/>
    <mergeCell ref="A23:G23"/>
    <mergeCell ref="A20:E2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5"/>
  <sheetViews>
    <sheetView workbookViewId="0" topLeftCell="A31">
      <selection activeCell="A2" sqref="A2:F2"/>
    </sheetView>
  </sheetViews>
  <sheetFormatPr defaultColWidth="9.00390625" defaultRowHeight="12.75"/>
  <cols>
    <col min="1" max="1" width="37.875" style="1" customWidth="1"/>
    <col min="2" max="2" width="18.375" style="1" customWidth="1"/>
    <col min="3" max="3" width="8.625" style="1" customWidth="1"/>
    <col min="4" max="5" width="7.625" style="1" customWidth="1"/>
    <col min="6" max="6" width="7.25390625" style="1" customWidth="1"/>
    <col min="7" max="7" width="12.00390625" style="1" customWidth="1"/>
    <col min="8" max="8" width="11.875" style="1" customWidth="1"/>
    <col min="9" max="16384" width="9.125" style="1" customWidth="1"/>
  </cols>
  <sheetData>
    <row r="1" spans="1:7" ht="12.75" customHeight="1">
      <c r="A1" s="322" t="s">
        <v>476</v>
      </c>
      <c r="B1" s="322"/>
      <c r="C1" s="322"/>
      <c r="D1" s="322"/>
      <c r="E1" s="322"/>
      <c r="F1" s="322"/>
      <c r="G1" s="322"/>
    </row>
    <row r="2" spans="1:7" ht="52.5" customHeight="1">
      <c r="A2" s="306" t="s">
        <v>294</v>
      </c>
      <c r="B2" s="306"/>
      <c r="C2" s="306"/>
      <c r="D2" s="306"/>
      <c r="E2" s="306"/>
      <c r="F2" s="306"/>
      <c r="G2" s="103"/>
    </row>
    <row r="3" spans="1:7" ht="16.5" customHeight="1">
      <c r="A3" s="36"/>
      <c r="B3" s="36"/>
      <c r="C3" s="36"/>
      <c r="D3" s="36"/>
      <c r="E3" s="36"/>
      <c r="F3" s="36"/>
      <c r="G3" s="36"/>
    </row>
    <row r="4" ht="12.75">
      <c r="A4" s="16" t="s">
        <v>384</v>
      </c>
    </row>
    <row r="5" spans="1:9" ht="48">
      <c r="A5" s="8" t="s">
        <v>358</v>
      </c>
      <c r="B5" s="8" t="s">
        <v>359</v>
      </c>
      <c r="C5" s="8" t="s">
        <v>87</v>
      </c>
      <c r="D5" s="8" t="s">
        <v>88</v>
      </c>
      <c r="E5" s="8" t="s">
        <v>89</v>
      </c>
      <c r="F5" s="8" t="s">
        <v>90</v>
      </c>
      <c r="H5" s="107"/>
      <c r="I5" s="107"/>
    </row>
    <row r="6" spans="1:11" ht="63" customHeight="1">
      <c r="A6" s="9" t="s">
        <v>402</v>
      </c>
      <c r="B6" s="7">
        <v>820</v>
      </c>
      <c r="C6" s="7">
        <v>210</v>
      </c>
      <c r="D6" s="7">
        <v>217</v>
      </c>
      <c r="E6" s="179">
        <v>275</v>
      </c>
      <c r="F6" s="179">
        <v>261</v>
      </c>
      <c r="H6" s="111"/>
      <c r="I6" s="173"/>
      <c r="J6" s="246"/>
      <c r="K6" s="246"/>
    </row>
    <row r="7" spans="1:9" ht="12.75">
      <c r="A7" s="75" t="s">
        <v>439</v>
      </c>
      <c r="B7" s="7">
        <v>76</v>
      </c>
      <c r="C7" s="7">
        <v>77</v>
      </c>
      <c r="D7" s="11">
        <v>81.6</v>
      </c>
      <c r="E7" s="7">
        <v>78</v>
      </c>
      <c r="F7" s="7">
        <v>75</v>
      </c>
      <c r="H7"/>
      <c r="I7" s="173"/>
    </row>
    <row r="8" spans="1:10" ht="65.25" customHeight="1">
      <c r="A8" s="9" t="s">
        <v>403</v>
      </c>
      <c r="B8" s="7">
        <v>5.3</v>
      </c>
      <c r="C8" s="7">
        <v>6</v>
      </c>
      <c r="D8" s="109">
        <v>4.6</v>
      </c>
      <c r="E8" s="7">
        <v>5</v>
      </c>
      <c r="F8" s="7">
        <v>4.7</v>
      </c>
      <c r="H8" s="180"/>
      <c r="I8" s="173"/>
      <c r="J8" s="93"/>
    </row>
    <row r="10" spans="1:4" ht="13.5" customHeight="1">
      <c r="A10" s="306" t="s">
        <v>417</v>
      </c>
      <c r="B10" s="306"/>
      <c r="C10" s="306"/>
      <c r="D10" s="306"/>
    </row>
    <row r="11" spans="1:6" ht="12.75">
      <c r="A11" s="2"/>
      <c r="E11" s="23"/>
      <c r="F11" s="23"/>
    </row>
    <row r="12" spans="1:6" ht="28.5" customHeight="1">
      <c r="A12" s="5" t="s">
        <v>260</v>
      </c>
      <c r="B12" s="5" t="s">
        <v>261</v>
      </c>
      <c r="C12" s="5" t="s">
        <v>262</v>
      </c>
      <c r="D12" s="5" t="s">
        <v>259</v>
      </c>
      <c r="E12" s="12" t="s">
        <v>375</v>
      </c>
      <c r="F12" s="178"/>
    </row>
    <row r="13" spans="1:6" ht="23.25" customHeight="1">
      <c r="A13" s="339" t="s">
        <v>27</v>
      </c>
      <c r="B13" s="25" t="s">
        <v>150</v>
      </c>
      <c r="C13" s="4">
        <v>1</v>
      </c>
      <c r="D13" s="4">
        <v>5</v>
      </c>
      <c r="E13" s="19">
        <v>5</v>
      </c>
      <c r="F13" s="85"/>
    </row>
    <row r="14" spans="1:6" ht="27.75" customHeight="1">
      <c r="A14" s="317"/>
      <c r="B14" s="25" t="s">
        <v>151</v>
      </c>
      <c r="C14" s="4">
        <v>0</v>
      </c>
      <c r="D14" s="4"/>
      <c r="E14" s="19"/>
      <c r="F14" s="85"/>
    </row>
    <row r="15" spans="1:6" ht="24" customHeight="1">
      <c r="A15" s="339" t="s">
        <v>28</v>
      </c>
      <c r="B15" s="25" t="s">
        <v>150</v>
      </c>
      <c r="C15" s="4">
        <v>1</v>
      </c>
      <c r="D15" s="4">
        <v>5</v>
      </c>
      <c r="E15" s="19">
        <v>5</v>
      </c>
      <c r="F15" s="85"/>
    </row>
    <row r="16" spans="1:6" ht="15" customHeight="1">
      <c r="A16" s="317"/>
      <c r="B16" s="25" t="s">
        <v>151</v>
      </c>
      <c r="C16" s="4">
        <v>0</v>
      </c>
      <c r="D16" s="4"/>
      <c r="E16" s="19"/>
      <c r="F16" s="85"/>
    </row>
    <row r="17" spans="1:6" ht="25.5" customHeight="1">
      <c r="A17" s="339" t="s">
        <v>29</v>
      </c>
      <c r="B17" s="25" t="s">
        <v>150</v>
      </c>
      <c r="C17" s="4">
        <v>1</v>
      </c>
      <c r="D17" s="4">
        <v>5</v>
      </c>
      <c r="E17" s="19">
        <v>5</v>
      </c>
      <c r="F17" s="85"/>
    </row>
    <row r="18" spans="1:6" ht="24" customHeight="1">
      <c r="A18" s="317"/>
      <c r="B18" s="25" t="s">
        <v>151</v>
      </c>
      <c r="C18" s="4">
        <v>0</v>
      </c>
      <c r="D18" s="4"/>
      <c r="E18" s="19"/>
      <c r="F18" s="85"/>
    </row>
    <row r="19" spans="1:6" ht="50.25" customHeight="1">
      <c r="A19" s="25" t="s">
        <v>30</v>
      </c>
      <c r="B19" s="82" t="s">
        <v>31</v>
      </c>
      <c r="C19" s="4" t="s">
        <v>145</v>
      </c>
      <c r="D19" s="4">
        <v>20</v>
      </c>
      <c r="E19" s="19">
        <f>D19*1</f>
        <v>20</v>
      </c>
      <c r="F19" s="85"/>
    </row>
    <row r="20" spans="1:6" ht="17.25" customHeight="1">
      <c r="A20" s="299" t="s">
        <v>153</v>
      </c>
      <c r="B20" s="300"/>
      <c r="C20" s="300"/>
      <c r="D20" s="301"/>
      <c r="E20" s="19"/>
      <c r="F20" s="85"/>
    </row>
    <row r="21" spans="1:6" ht="31.5" customHeight="1">
      <c r="A21" s="307" t="s">
        <v>154</v>
      </c>
      <c r="B21" s="308"/>
      <c r="C21" s="308"/>
      <c r="D21" s="295"/>
      <c r="E21" s="19"/>
      <c r="F21" s="85"/>
    </row>
    <row r="22" spans="1:8" ht="80.25" customHeight="1">
      <c r="A22" s="25" t="s">
        <v>32</v>
      </c>
      <c r="B22" s="82" t="s">
        <v>33</v>
      </c>
      <c r="C22" s="4" t="s">
        <v>378</v>
      </c>
      <c r="D22" s="4">
        <v>10</v>
      </c>
      <c r="E22" s="19">
        <v>10</v>
      </c>
      <c r="F22" s="85"/>
      <c r="G22" s="37"/>
      <c r="H22" s="37"/>
    </row>
    <row r="23" spans="1:6" ht="77.25" customHeight="1">
      <c r="A23" s="25" t="s">
        <v>34</v>
      </c>
      <c r="B23" s="82" t="s">
        <v>35</v>
      </c>
      <c r="C23" s="4" t="s">
        <v>152</v>
      </c>
      <c r="D23" s="4">
        <v>0</v>
      </c>
      <c r="E23" s="33" t="s">
        <v>372</v>
      </c>
      <c r="F23" s="87"/>
    </row>
    <row r="24" spans="1:6" ht="39.75" customHeight="1">
      <c r="A24" s="325" t="s">
        <v>36</v>
      </c>
      <c r="B24" s="326"/>
      <c r="C24" s="326"/>
      <c r="D24" s="327"/>
      <c r="E24" s="19"/>
      <c r="F24" s="85"/>
    </row>
    <row r="25" spans="1:10" ht="81.75" customHeight="1">
      <c r="A25" s="53" t="s">
        <v>37</v>
      </c>
      <c r="B25" s="82" t="s">
        <v>35</v>
      </c>
      <c r="C25" s="4" t="s">
        <v>406</v>
      </c>
      <c r="D25" s="4">
        <v>5</v>
      </c>
      <c r="E25" s="19">
        <f>D25*1</f>
        <v>5</v>
      </c>
      <c r="F25" s="85"/>
      <c r="G25" s="181"/>
      <c r="H25" s="332"/>
      <c r="I25" s="332"/>
      <c r="J25" s="332"/>
    </row>
    <row r="26" spans="1:6" ht="83.25" customHeight="1">
      <c r="A26" s="53" t="s">
        <v>38</v>
      </c>
      <c r="B26" s="82" t="s">
        <v>35</v>
      </c>
      <c r="C26" s="4" t="s">
        <v>152</v>
      </c>
      <c r="D26" s="4"/>
      <c r="E26" s="33" t="s">
        <v>372</v>
      </c>
      <c r="F26" s="87"/>
    </row>
    <row r="27" spans="1:6" ht="12.75" customHeight="1">
      <c r="A27" s="299" t="s">
        <v>39</v>
      </c>
      <c r="B27" s="300"/>
      <c r="C27" s="300"/>
      <c r="D27" s="300"/>
      <c r="E27" s="301"/>
      <c r="F27" s="61"/>
    </row>
    <row r="28" spans="1:6" ht="26.25" customHeight="1">
      <c r="A28" s="296" t="s">
        <v>40</v>
      </c>
      <c r="B28" s="297"/>
      <c r="C28" s="297"/>
      <c r="D28" s="298"/>
      <c r="E28" s="19"/>
      <c r="F28" s="85"/>
    </row>
    <row r="29" spans="1:11" ht="45" customHeight="1">
      <c r="A29" s="25" t="s">
        <v>41</v>
      </c>
      <c r="B29" s="25" t="s">
        <v>348</v>
      </c>
      <c r="C29" s="4" t="s">
        <v>404</v>
      </c>
      <c r="D29" s="4">
        <v>5</v>
      </c>
      <c r="E29" s="19">
        <f>D29*0.94</f>
        <v>4.699999999999999</v>
      </c>
      <c r="F29" s="85"/>
      <c r="H29" s="181"/>
      <c r="I29" s="246"/>
      <c r="J29" s="246"/>
      <c r="K29" s="246"/>
    </row>
    <row r="30" spans="1:6" ht="48.75" customHeight="1">
      <c r="A30" s="25" t="s">
        <v>349</v>
      </c>
      <c r="B30" s="82" t="s">
        <v>348</v>
      </c>
      <c r="C30" s="4" t="s">
        <v>405</v>
      </c>
      <c r="D30" s="4">
        <v>5</v>
      </c>
      <c r="E30" s="27">
        <f>D30*0.951</f>
        <v>4.755</v>
      </c>
      <c r="F30" s="85"/>
    </row>
    <row r="31" spans="1:6" ht="27" customHeight="1">
      <c r="A31" s="307" t="s">
        <v>350</v>
      </c>
      <c r="B31" s="308"/>
      <c r="C31" s="308"/>
      <c r="D31" s="295"/>
      <c r="E31" s="19"/>
      <c r="F31" s="85"/>
    </row>
    <row r="32" spans="1:6" ht="46.5" customHeight="1">
      <c r="A32" s="25" t="s">
        <v>351</v>
      </c>
      <c r="B32" s="82" t="s">
        <v>348</v>
      </c>
      <c r="C32" s="4" t="s">
        <v>405</v>
      </c>
      <c r="D32" s="4">
        <v>10</v>
      </c>
      <c r="E32" s="27">
        <f>D32*0.951</f>
        <v>9.51</v>
      </c>
      <c r="F32" s="85"/>
    </row>
    <row r="33" spans="1:6" ht="45" customHeight="1">
      <c r="A33" s="25" t="s">
        <v>352</v>
      </c>
      <c r="B33" s="82" t="s">
        <v>348</v>
      </c>
      <c r="C33" s="4" t="s">
        <v>379</v>
      </c>
      <c r="D33" s="4"/>
      <c r="E33" s="33" t="s">
        <v>372</v>
      </c>
      <c r="F33" s="87"/>
    </row>
    <row r="34" spans="1:6" ht="46.5" customHeight="1">
      <c r="A34" s="25" t="s">
        <v>353</v>
      </c>
      <c r="B34" s="82" t="s">
        <v>348</v>
      </c>
      <c r="C34" s="4" t="s">
        <v>152</v>
      </c>
      <c r="D34" s="4"/>
      <c r="E34" s="33" t="s">
        <v>372</v>
      </c>
      <c r="F34" s="87"/>
    </row>
    <row r="35" spans="1:9" ht="53.25" customHeight="1">
      <c r="A35" s="25" t="s">
        <v>354</v>
      </c>
      <c r="B35" s="82" t="s">
        <v>348</v>
      </c>
      <c r="C35" s="4" t="s">
        <v>152</v>
      </c>
      <c r="D35" s="4"/>
      <c r="E35" s="33"/>
      <c r="F35" s="87"/>
      <c r="H35" s="244"/>
      <c r="I35" s="244"/>
    </row>
    <row r="36" spans="1:6" ht="32.25" customHeight="1">
      <c r="A36" s="25" t="s">
        <v>355</v>
      </c>
      <c r="B36" s="82" t="s">
        <v>356</v>
      </c>
      <c r="C36" s="4" t="s">
        <v>152</v>
      </c>
      <c r="D36" s="4"/>
      <c r="E36" s="33" t="s">
        <v>372</v>
      </c>
      <c r="F36" s="87"/>
    </row>
    <row r="37" spans="1:8" ht="12.75">
      <c r="A37" s="24" t="s">
        <v>374</v>
      </c>
      <c r="B37" s="3"/>
      <c r="C37" s="4"/>
      <c r="D37" s="20">
        <f>D36+D35+D34+D33+D32+D30+D29+D26+D25+D23+D22+D19+D17+D15+D13</f>
        <v>70</v>
      </c>
      <c r="E37" s="32">
        <f>E32+E30+E29+E25+E22+E19+E17+E15+E13</f>
        <v>68.965</v>
      </c>
      <c r="F37" s="52">
        <f>E37/D37*100</f>
        <v>98.52142857142857</v>
      </c>
      <c r="H37" s="93"/>
    </row>
    <row r="38" spans="1:6" ht="12.75">
      <c r="A38" s="66"/>
      <c r="B38" s="67"/>
      <c r="C38" s="49"/>
      <c r="D38" s="26"/>
      <c r="E38" s="50"/>
      <c r="F38" s="50"/>
    </row>
    <row r="39" spans="1:4" ht="12.75">
      <c r="A39" s="288" t="s">
        <v>26</v>
      </c>
      <c r="B39" s="288"/>
      <c r="C39" s="288"/>
      <c r="D39" s="288"/>
    </row>
    <row r="40" spans="1:7" ht="66" customHeight="1">
      <c r="A40" s="315" t="s">
        <v>407</v>
      </c>
      <c r="B40" s="315"/>
      <c r="C40" s="315"/>
      <c r="D40" s="315"/>
      <c r="E40" s="315"/>
      <c r="F40" s="45"/>
      <c r="G40" s="71"/>
    </row>
    <row r="41" spans="1:6" ht="12.75">
      <c r="A41" s="315"/>
      <c r="B41" s="315"/>
      <c r="C41" s="315"/>
      <c r="D41" s="315"/>
      <c r="E41" s="315"/>
      <c r="F41" s="45"/>
    </row>
    <row r="43" spans="1:4" ht="25.5">
      <c r="A43" s="22" t="s">
        <v>86</v>
      </c>
      <c r="D43" s="1" t="s">
        <v>84</v>
      </c>
    </row>
    <row r="44" ht="12.75">
      <c r="A44" s="22"/>
    </row>
    <row r="45" ht="12.75">
      <c r="A45" s="79"/>
    </row>
  </sheetData>
  <mergeCells count="16">
    <mergeCell ref="A1:G1"/>
    <mergeCell ref="A15:A16"/>
    <mergeCell ref="A17:A18"/>
    <mergeCell ref="A20:D20"/>
    <mergeCell ref="A41:E41"/>
    <mergeCell ref="A24:D24"/>
    <mergeCell ref="A28:D28"/>
    <mergeCell ref="A31:D31"/>
    <mergeCell ref="A27:E27"/>
    <mergeCell ref="A39:D39"/>
    <mergeCell ref="A40:E40"/>
    <mergeCell ref="H25:J25"/>
    <mergeCell ref="A2:F2"/>
    <mergeCell ref="A21:D21"/>
    <mergeCell ref="A10:D10"/>
    <mergeCell ref="A13:A14"/>
  </mergeCells>
  <printOptions/>
  <pageMargins left="0.7874015748031497" right="0" top="0.7874015748031497" bottom="0.3937007874015748" header="0.5118110236220472" footer="0.5118110236220472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96"/>
  <sheetViews>
    <sheetView workbookViewId="0" topLeftCell="A33">
      <selection activeCell="A46" sqref="A46:IV46"/>
    </sheetView>
  </sheetViews>
  <sheetFormatPr defaultColWidth="9.00390625" defaultRowHeight="12.75"/>
  <cols>
    <col min="1" max="1" width="39.125" style="1" customWidth="1"/>
    <col min="2" max="2" width="14.875" style="1" customWidth="1"/>
    <col min="3" max="3" width="9.125" style="1" customWidth="1"/>
    <col min="4" max="4" width="6.75390625" style="1" hidden="1" customWidth="1"/>
    <col min="5" max="5" width="7.75390625" style="1" customWidth="1"/>
    <col min="6" max="6" width="10.625" style="1" customWidth="1"/>
    <col min="7" max="7" width="8.00390625" style="1" customWidth="1"/>
    <col min="8" max="8" width="7.875" style="1" customWidth="1"/>
    <col min="9" max="10" width="6.375" style="1" customWidth="1"/>
    <col min="11" max="16384" width="9.125" style="1" customWidth="1"/>
  </cols>
  <sheetData>
    <row r="1" spans="1:7" ht="12.75" customHeight="1">
      <c r="A1" s="322" t="s">
        <v>264</v>
      </c>
      <c r="B1" s="322"/>
      <c r="C1" s="322"/>
      <c r="D1" s="322"/>
      <c r="E1" s="322"/>
      <c r="F1" s="322"/>
      <c r="G1" s="322"/>
    </row>
    <row r="2" spans="1:7" ht="42" customHeight="1">
      <c r="A2" s="281" t="s">
        <v>133</v>
      </c>
      <c r="B2" s="281"/>
      <c r="C2" s="281"/>
      <c r="D2" s="281"/>
      <c r="E2" s="281"/>
      <c r="F2" s="281"/>
      <c r="G2" s="281"/>
    </row>
    <row r="3" ht="12.75">
      <c r="A3" s="16" t="s">
        <v>383</v>
      </c>
    </row>
    <row r="4" spans="1:11" ht="64.5" customHeight="1">
      <c r="A4" s="8" t="s">
        <v>358</v>
      </c>
      <c r="B4" s="8" t="s">
        <v>359</v>
      </c>
      <c r="C4" s="282" t="s">
        <v>76</v>
      </c>
      <c r="D4" s="283"/>
      <c r="E4" s="6" t="s">
        <v>256</v>
      </c>
      <c r="F4" s="194" t="s">
        <v>77</v>
      </c>
      <c r="G4" s="6" t="s">
        <v>79</v>
      </c>
      <c r="H4" s="108"/>
      <c r="I4" s="108"/>
      <c r="J4" s="108"/>
      <c r="K4" s="192"/>
    </row>
    <row r="5" spans="1:13" ht="33" customHeight="1">
      <c r="A5" s="25" t="s">
        <v>172</v>
      </c>
      <c r="B5" s="10">
        <v>9</v>
      </c>
      <c r="C5" s="284" t="s">
        <v>188</v>
      </c>
      <c r="D5" s="285"/>
      <c r="E5" s="10" t="s">
        <v>189</v>
      </c>
      <c r="F5" s="195" t="s">
        <v>190</v>
      </c>
      <c r="G5" s="10" t="s">
        <v>191</v>
      </c>
      <c r="H5" s="190"/>
      <c r="I5" s="191"/>
      <c r="K5" s="292"/>
      <c r="L5" s="291"/>
      <c r="M5" s="291"/>
    </row>
    <row r="6" spans="1:13" ht="39" customHeight="1">
      <c r="A6" s="25" t="s">
        <v>257</v>
      </c>
      <c r="B6" s="10">
        <v>75</v>
      </c>
      <c r="C6" s="284" t="s">
        <v>192</v>
      </c>
      <c r="D6" s="285"/>
      <c r="E6" s="10" t="s">
        <v>193</v>
      </c>
      <c r="F6" s="195" t="s">
        <v>194</v>
      </c>
      <c r="G6" s="10" t="s">
        <v>195</v>
      </c>
      <c r="H6" s="190"/>
      <c r="I6" s="191"/>
      <c r="K6" s="292"/>
      <c r="L6" s="291"/>
      <c r="M6" s="291"/>
    </row>
    <row r="7" spans="1:13" ht="33.75">
      <c r="A7" s="14" t="s">
        <v>258</v>
      </c>
      <c r="B7" s="10">
        <v>1</v>
      </c>
      <c r="C7" s="284" t="s">
        <v>196</v>
      </c>
      <c r="D7" s="285"/>
      <c r="E7" s="10" t="s">
        <v>197</v>
      </c>
      <c r="F7" s="195" t="s">
        <v>198</v>
      </c>
      <c r="G7" s="10" t="s">
        <v>199</v>
      </c>
      <c r="H7" s="190"/>
      <c r="I7" s="191"/>
      <c r="K7" s="292"/>
      <c r="L7" s="291"/>
      <c r="M7" s="291"/>
    </row>
    <row r="8" spans="1:13" ht="39" customHeight="1">
      <c r="A8" s="14" t="s">
        <v>78</v>
      </c>
      <c r="B8" s="10">
        <v>25</v>
      </c>
      <c r="C8" s="286" t="s">
        <v>200</v>
      </c>
      <c r="D8" s="287"/>
      <c r="E8" s="10" t="s">
        <v>201</v>
      </c>
      <c r="F8" s="195" t="s">
        <v>203</v>
      </c>
      <c r="G8" s="10" t="s">
        <v>202</v>
      </c>
      <c r="H8" s="190"/>
      <c r="I8" s="191"/>
      <c r="K8" s="292"/>
      <c r="L8" s="291"/>
      <c r="M8" s="291"/>
    </row>
    <row r="10" spans="1:7" ht="19.5" customHeight="1">
      <c r="A10" s="306" t="s">
        <v>80</v>
      </c>
      <c r="B10" s="306"/>
      <c r="C10" s="306"/>
      <c r="D10" s="306"/>
      <c r="E10" s="306"/>
      <c r="F10" s="306"/>
      <c r="G10" s="306"/>
    </row>
    <row r="11" ht="12.75">
      <c r="A11" s="2"/>
    </row>
    <row r="12" spans="1:6" ht="41.25" customHeight="1">
      <c r="A12" s="5" t="s">
        <v>260</v>
      </c>
      <c r="B12" s="5" t="s">
        <v>261</v>
      </c>
      <c r="C12" s="5" t="s">
        <v>262</v>
      </c>
      <c r="D12" s="5" t="s">
        <v>259</v>
      </c>
      <c r="E12" s="5" t="s">
        <v>259</v>
      </c>
      <c r="F12" s="14" t="s">
        <v>373</v>
      </c>
    </row>
    <row r="13" spans="1:6" ht="21" customHeight="1">
      <c r="A13" s="339" t="s">
        <v>27</v>
      </c>
      <c r="B13" s="63" t="s">
        <v>150</v>
      </c>
      <c r="C13" s="15">
        <v>1</v>
      </c>
      <c r="D13" s="15">
        <v>5</v>
      </c>
      <c r="E13" s="4">
        <v>5</v>
      </c>
      <c r="F13" s="19">
        <v>5</v>
      </c>
    </row>
    <row r="14" spans="1:6" ht="36.75" customHeight="1">
      <c r="A14" s="317"/>
      <c r="B14" s="63" t="s">
        <v>151</v>
      </c>
      <c r="C14" s="15">
        <v>0</v>
      </c>
      <c r="D14" s="15"/>
      <c r="E14" s="4"/>
      <c r="F14" s="18"/>
    </row>
    <row r="15" spans="1:6" ht="24" customHeight="1">
      <c r="A15" s="339" t="s">
        <v>28</v>
      </c>
      <c r="B15" s="63" t="s">
        <v>150</v>
      </c>
      <c r="C15" s="15">
        <v>1</v>
      </c>
      <c r="D15" s="15">
        <v>5</v>
      </c>
      <c r="E15" s="4">
        <v>5</v>
      </c>
      <c r="F15" s="19">
        <v>5</v>
      </c>
    </row>
    <row r="16" spans="1:6" ht="27" customHeight="1">
      <c r="A16" s="317"/>
      <c r="B16" s="63" t="s">
        <v>151</v>
      </c>
      <c r="C16" s="4">
        <v>0</v>
      </c>
      <c r="D16" s="4"/>
      <c r="E16" s="4"/>
      <c r="F16" s="18"/>
    </row>
    <row r="17" spans="1:6" ht="25.5" customHeight="1">
      <c r="A17" s="339" t="s">
        <v>29</v>
      </c>
      <c r="B17" s="63" t="s">
        <v>150</v>
      </c>
      <c r="C17" s="4">
        <v>1</v>
      </c>
      <c r="D17" s="4">
        <v>5</v>
      </c>
      <c r="E17" s="4">
        <v>5</v>
      </c>
      <c r="F17" s="19">
        <v>5</v>
      </c>
    </row>
    <row r="18" spans="1:6" ht="29.25" customHeight="1">
      <c r="A18" s="317"/>
      <c r="B18" s="63" t="s">
        <v>151</v>
      </c>
      <c r="C18" s="15">
        <v>0</v>
      </c>
      <c r="D18" s="4"/>
      <c r="E18" s="4"/>
      <c r="F18" s="19"/>
    </row>
    <row r="19" spans="1:6" ht="93" customHeight="1">
      <c r="A19" s="25" t="s">
        <v>30</v>
      </c>
      <c r="B19" s="25" t="s">
        <v>31</v>
      </c>
      <c r="C19" s="15" t="s">
        <v>204</v>
      </c>
      <c r="D19" s="4">
        <v>20</v>
      </c>
      <c r="E19" s="4">
        <v>20</v>
      </c>
      <c r="F19" s="19">
        <f>D19*0.405</f>
        <v>8.100000000000001</v>
      </c>
    </row>
    <row r="20" spans="1:6" ht="17.25" customHeight="1">
      <c r="A20" s="325" t="s">
        <v>153</v>
      </c>
      <c r="B20" s="326"/>
      <c r="C20" s="326"/>
      <c r="D20" s="326"/>
      <c r="E20" s="326"/>
      <c r="F20" s="327"/>
    </row>
    <row r="21" spans="1:6" ht="20.25" customHeight="1">
      <c r="A21" s="328" t="s">
        <v>85</v>
      </c>
      <c r="B21" s="329"/>
      <c r="C21" s="329"/>
      <c r="D21" s="329"/>
      <c r="E21" s="329"/>
      <c r="F21" s="330"/>
    </row>
    <row r="22" spans="1:12" ht="87.75">
      <c r="A22" s="25" t="s">
        <v>32</v>
      </c>
      <c r="B22" s="82" t="s">
        <v>33</v>
      </c>
      <c r="C22" s="15" t="s">
        <v>263</v>
      </c>
      <c r="D22" s="15">
        <v>10</v>
      </c>
      <c r="E22" s="4">
        <v>10</v>
      </c>
      <c r="F22" s="19">
        <f>D22*0.5</f>
        <v>5</v>
      </c>
      <c r="H22" s="28"/>
      <c r="I22" s="331"/>
      <c r="J22" s="331"/>
      <c r="K22" s="331"/>
      <c r="L22" s="331"/>
    </row>
    <row r="23" spans="1:6" ht="87.75">
      <c r="A23" s="25" t="s">
        <v>34</v>
      </c>
      <c r="B23" s="82" t="s">
        <v>35</v>
      </c>
      <c r="C23" s="4" t="s">
        <v>152</v>
      </c>
      <c r="D23" s="4"/>
      <c r="E23" s="33">
        <v>0</v>
      </c>
      <c r="F23" s="33" t="s">
        <v>372</v>
      </c>
    </row>
    <row r="24" spans="1:6" ht="28.5" customHeight="1">
      <c r="A24" s="294" t="s">
        <v>36</v>
      </c>
      <c r="B24" s="278"/>
      <c r="C24" s="278"/>
      <c r="D24" s="279"/>
      <c r="E24" s="175"/>
      <c r="F24" s="18"/>
    </row>
    <row r="25" spans="1:12" ht="87.75">
      <c r="A25" s="25" t="s">
        <v>37</v>
      </c>
      <c r="B25" s="82" t="s">
        <v>35</v>
      </c>
      <c r="C25" s="4" t="s">
        <v>263</v>
      </c>
      <c r="D25" s="15">
        <v>5</v>
      </c>
      <c r="E25" s="4">
        <v>5</v>
      </c>
      <c r="F25" s="19">
        <f>D25*0.5</f>
        <v>2.5</v>
      </c>
      <c r="I25" s="332"/>
      <c r="J25" s="332"/>
      <c r="K25" s="332"/>
      <c r="L25" s="332"/>
    </row>
    <row r="26" spans="1:6" ht="87.75">
      <c r="A26" s="25" t="s">
        <v>38</v>
      </c>
      <c r="B26" s="82" t="s">
        <v>35</v>
      </c>
      <c r="C26" s="4" t="s">
        <v>152</v>
      </c>
      <c r="D26" s="4"/>
      <c r="E26" s="33">
        <v>0</v>
      </c>
      <c r="F26" s="33" t="s">
        <v>372</v>
      </c>
    </row>
    <row r="27" spans="1:6" ht="24" customHeight="1">
      <c r="A27" s="325" t="s">
        <v>39</v>
      </c>
      <c r="B27" s="326"/>
      <c r="C27" s="326"/>
      <c r="D27" s="326"/>
      <c r="E27" s="326"/>
      <c r="F27" s="327"/>
    </row>
    <row r="28" spans="1:6" ht="26.25" customHeight="1">
      <c r="A28" s="328" t="s">
        <v>40</v>
      </c>
      <c r="B28" s="329"/>
      <c r="C28" s="329"/>
      <c r="D28" s="329"/>
      <c r="E28" s="329"/>
      <c r="F28" s="330"/>
    </row>
    <row r="29" spans="1:12" ht="68.25">
      <c r="A29" s="25" t="s">
        <v>41</v>
      </c>
      <c r="B29" s="82" t="s">
        <v>348</v>
      </c>
      <c r="C29" s="4" t="s">
        <v>82</v>
      </c>
      <c r="D29" s="15">
        <v>5</v>
      </c>
      <c r="E29" s="4">
        <v>5</v>
      </c>
      <c r="F29" s="27">
        <f>5*0.927</f>
        <v>4.635</v>
      </c>
      <c r="I29" s="177"/>
      <c r="J29" s="289"/>
      <c r="K29" s="289"/>
      <c r="L29" s="289"/>
    </row>
    <row r="30" spans="1:6" ht="68.25">
      <c r="A30" s="25" t="s">
        <v>349</v>
      </c>
      <c r="B30" s="82" t="s">
        <v>348</v>
      </c>
      <c r="C30" s="4" t="s">
        <v>436</v>
      </c>
      <c r="D30" s="15">
        <v>5</v>
      </c>
      <c r="E30" s="4">
        <v>5</v>
      </c>
      <c r="F30" s="27">
        <f>5*0.884</f>
        <v>4.42</v>
      </c>
    </row>
    <row r="31" spans="1:6" ht="27" customHeight="1">
      <c r="A31" s="328" t="s">
        <v>350</v>
      </c>
      <c r="B31" s="329"/>
      <c r="C31" s="329"/>
      <c r="D31" s="329"/>
      <c r="E31" s="329"/>
      <c r="F31" s="330"/>
    </row>
    <row r="32" spans="1:6" ht="68.25">
      <c r="A32" s="25" t="s">
        <v>351</v>
      </c>
      <c r="B32" s="82" t="s">
        <v>348</v>
      </c>
      <c r="C32" s="4" t="s">
        <v>81</v>
      </c>
      <c r="D32" s="15">
        <v>10</v>
      </c>
      <c r="E32" s="4">
        <v>10</v>
      </c>
      <c r="F32" s="27">
        <f>10*0.927</f>
        <v>9.27</v>
      </c>
    </row>
    <row r="33" spans="1:6" ht="68.25">
      <c r="A33" s="25" t="s">
        <v>352</v>
      </c>
      <c r="B33" s="82" t="s">
        <v>348</v>
      </c>
      <c r="C33" s="4" t="s">
        <v>152</v>
      </c>
      <c r="D33" s="4"/>
      <c r="E33" s="33">
        <v>0</v>
      </c>
      <c r="F33" s="33" t="s">
        <v>372</v>
      </c>
    </row>
    <row r="34" spans="1:6" ht="82.5" customHeight="1">
      <c r="A34" s="25" t="s">
        <v>353</v>
      </c>
      <c r="B34" s="82" t="s">
        <v>348</v>
      </c>
      <c r="C34" s="4" t="s">
        <v>152</v>
      </c>
      <c r="D34" s="4"/>
      <c r="E34" s="33">
        <v>0</v>
      </c>
      <c r="F34" s="33" t="s">
        <v>372</v>
      </c>
    </row>
    <row r="35" spans="1:10" ht="68.25">
      <c r="A35" s="25" t="s">
        <v>354</v>
      </c>
      <c r="B35" s="82" t="s">
        <v>348</v>
      </c>
      <c r="C35" s="4" t="s">
        <v>376</v>
      </c>
      <c r="D35" s="15"/>
      <c r="E35" s="4">
        <v>5</v>
      </c>
      <c r="F35" s="34">
        <v>5</v>
      </c>
      <c r="H35" s="99"/>
      <c r="I35" s="332"/>
      <c r="J35" s="332"/>
    </row>
    <row r="36" spans="1:6" ht="48.75">
      <c r="A36" s="25" t="s">
        <v>355</v>
      </c>
      <c r="B36" s="82" t="s">
        <v>356</v>
      </c>
      <c r="C36" s="4" t="s">
        <v>152</v>
      </c>
      <c r="D36" s="4"/>
      <c r="E36" s="33">
        <v>0</v>
      </c>
      <c r="F36" s="33" t="s">
        <v>372</v>
      </c>
    </row>
    <row r="37" spans="1:10" ht="12.75">
      <c r="A37" s="20" t="s">
        <v>374</v>
      </c>
      <c r="B37" s="17"/>
      <c r="C37" s="17"/>
      <c r="D37" s="20">
        <f>D36+D35+D34+D33+D32+D30+D29+D26+D25+D23+D22+D19+D17+D15++D13</f>
        <v>70</v>
      </c>
      <c r="E37" s="20">
        <f>E36+E35+E34+E33+E32+E30+E29+E26+E25+E23+E22+E19+E17+E15++E13</f>
        <v>75</v>
      </c>
      <c r="F37" s="30">
        <f>F35+F32+F30+F29+F25+F22+F15+F13+F19+F18</f>
        <v>48.925</v>
      </c>
      <c r="G37" s="93">
        <f>F37/E37*100</f>
        <v>65.23333333333333</v>
      </c>
      <c r="H37" s="93"/>
      <c r="I37" s="56"/>
      <c r="J37" s="56"/>
    </row>
    <row r="38" spans="1:5" ht="12.75" customHeight="1">
      <c r="A38" s="280"/>
      <c r="B38" s="280"/>
      <c r="C38" s="280"/>
      <c r="D38" s="280"/>
      <c r="E38" s="2"/>
    </row>
    <row r="39" ht="12.75">
      <c r="A39" s="59" t="s">
        <v>26</v>
      </c>
    </row>
    <row r="40" spans="1:6" ht="120.75" customHeight="1">
      <c r="A40" s="293" t="s">
        <v>216</v>
      </c>
      <c r="B40" s="293"/>
      <c r="C40" s="293"/>
      <c r="D40" s="293"/>
      <c r="E40" s="293"/>
      <c r="F40" s="293"/>
    </row>
    <row r="41" spans="1:6" ht="27.75" customHeight="1">
      <c r="A41" s="290" t="s">
        <v>173</v>
      </c>
      <c r="B41" s="290"/>
      <c r="C41" s="290"/>
      <c r="D41" s="290"/>
      <c r="E41" s="290"/>
      <c r="F41" s="290"/>
    </row>
    <row r="43" spans="1:6" ht="12.75">
      <c r="A43" s="99" t="s">
        <v>83</v>
      </c>
      <c r="B43" s="95"/>
      <c r="C43" s="95"/>
      <c r="D43" s="95"/>
      <c r="E43" s="95"/>
      <c r="F43" s="95"/>
    </row>
    <row r="44" spans="1:6" ht="12.75">
      <c r="A44" s="95" t="s">
        <v>388</v>
      </c>
      <c r="B44" s="95"/>
      <c r="C44" s="95"/>
      <c r="D44" s="95"/>
      <c r="E44" s="95"/>
      <c r="F44" s="95" t="s">
        <v>84</v>
      </c>
    </row>
    <row r="45" spans="1:6" ht="12.75">
      <c r="A45" s="95"/>
      <c r="B45" s="95"/>
      <c r="C45" s="95"/>
      <c r="D45" s="95"/>
      <c r="E45" s="95"/>
      <c r="F45" s="95"/>
    </row>
    <row r="46" spans="1:6" ht="12.75">
      <c r="A46" s="95"/>
      <c r="B46" s="95"/>
      <c r="C46" s="95"/>
      <c r="D46" s="95"/>
      <c r="E46" s="95"/>
      <c r="F46" s="95"/>
    </row>
    <row r="47" spans="1:6" ht="12.75">
      <c r="A47" s="95"/>
      <c r="B47" s="95"/>
      <c r="C47" s="95"/>
      <c r="D47" s="95"/>
      <c r="E47" s="95"/>
      <c r="F47" s="95"/>
    </row>
    <row r="48" spans="1:6" ht="12.75">
      <c r="A48" s="95"/>
      <c r="B48" s="95"/>
      <c r="C48" s="95"/>
      <c r="D48" s="95"/>
      <c r="E48" s="95"/>
      <c r="F48" s="95"/>
    </row>
    <row r="49" spans="1:6" ht="12.75">
      <c r="A49" s="95"/>
      <c r="B49" s="95"/>
      <c r="C49" s="95"/>
      <c r="D49" s="95"/>
      <c r="E49" s="95"/>
      <c r="F49" s="95"/>
    </row>
    <row r="50" spans="1:5" ht="12.75">
      <c r="A50" s="95"/>
      <c r="B50" s="95"/>
      <c r="C50" s="95"/>
      <c r="D50" s="95"/>
      <c r="E50" s="95"/>
    </row>
    <row r="51" spans="1:6" ht="12.75">
      <c r="A51" s="95"/>
      <c r="B51" s="95"/>
      <c r="C51" s="95"/>
      <c r="D51" s="95"/>
      <c r="E51" s="95"/>
      <c r="F51" s="95"/>
    </row>
    <row r="96" ht="12.75">
      <c r="A96" s="37"/>
    </row>
  </sheetData>
  <mergeCells count="27">
    <mergeCell ref="A2:G2"/>
    <mergeCell ref="A1:G1"/>
    <mergeCell ref="A31:F31"/>
    <mergeCell ref="C4:D4"/>
    <mergeCell ref="C5:D5"/>
    <mergeCell ref="C7:D7"/>
    <mergeCell ref="C8:D8"/>
    <mergeCell ref="C6:D6"/>
    <mergeCell ref="A28:F28"/>
    <mergeCell ref="A13:A14"/>
    <mergeCell ref="A10:G10"/>
    <mergeCell ref="A40:F40"/>
    <mergeCell ref="A24:D24"/>
    <mergeCell ref="A38:D38"/>
    <mergeCell ref="A27:F27"/>
    <mergeCell ref="A15:A16"/>
    <mergeCell ref="A20:F20"/>
    <mergeCell ref="A21:F21"/>
    <mergeCell ref="A17:A18"/>
    <mergeCell ref="M5:M8"/>
    <mergeCell ref="L5:L8"/>
    <mergeCell ref="I22:L22"/>
    <mergeCell ref="K5:K8"/>
    <mergeCell ref="I25:L25"/>
    <mergeCell ref="J29:L29"/>
    <mergeCell ref="I35:J35"/>
    <mergeCell ref="A41:F41"/>
  </mergeCells>
  <printOptions/>
  <pageMargins left="0.5905511811023623" right="0.1968503937007874" top="0.5905511811023623" bottom="0.1968503937007874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80"/>
  <sheetViews>
    <sheetView workbookViewId="0" topLeftCell="A43">
      <selection activeCell="A52" sqref="A52:IV52"/>
    </sheetView>
  </sheetViews>
  <sheetFormatPr defaultColWidth="9.00390625" defaultRowHeight="12.75"/>
  <cols>
    <col min="1" max="1" width="33.625" style="1" customWidth="1"/>
    <col min="2" max="2" width="21.125" style="1" customWidth="1"/>
    <col min="3" max="3" width="10.375" style="1" customWidth="1"/>
    <col min="4" max="4" width="12.625" style="79" customWidth="1"/>
    <col min="5" max="6" width="10.625" style="79" customWidth="1"/>
    <col min="7" max="7" width="35.375" style="1" customWidth="1"/>
    <col min="8" max="8" width="23.25390625" style="1" customWidth="1"/>
    <col min="9" max="16384" width="9.125" style="1" customWidth="1"/>
  </cols>
  <sheetData>
    <row r="1" spans="1:7" ht="12.75" customHeight="1">
      <c r="A1" s="322" t="s">
        <v>382</v>
      </c>
      <c r="B1" s="322"/>
      <c r="C1" s="322"/>
      <c r="D1" s="322"/>
      <c r="E1" s="322"/>
      <c r="F1" s="101"/>
      <c r="G1" s="77"/>
    </row>
    <row r="2" spans="1:7" ht="12.75" customHeight="1">
      <c r="A2" s="281" t="s">
        <v>442</v>
      </c>
      <c r="B2" s="281"/>
      <c r="C2" s="281"/>
      <c r="D2" s="281"/>
      <c r="E2" s="281"/>
      <c r="F2" s="58"/>
      <c r="G2" s="172"/>
    </row>
    <row r="3" spans="1:7" ht="12.75" customHeight="1">
      <c r="A3" s="281" t="s">
        <v>52</v>
      </c>
      <c r="B3" s="281"/>
      <c r="C3" s="281"/>
      <c r="D3" s="281"/>
      <c r="E3" s="281"/>
      <c r="F3" s="172"/>
      <c r="G3" s="58"/>
    </row>
    <row r="4" ht="12.75">
      <c r="A4" s="16" t="s">
        <v>384</v>
      </c>
    </row>
    <row r="5" spans="1:6" ht="36">
      <c r="A5" s="8" t="s">
        <v>358</v>
      </c>
      <c r="B5" s="8" t="s">
        <v>359</v>
      </c>
      <c r="C5" s="347" t="s">
        <v>437</v>
      </c>
      <c r="D5" s="347"/>
      <c r="E5" s="347"/>
      <c r="F5" s="218"/>
    </row>
    <row r="6" spans="1:6" ht="90">
      <c r="A6" s="8"/>
      <c r="B6" s="8"/>
      <c r="C6" s="156"/>
      <c r="D6" s="176" t="s">
        <v>121</v>
      </c>
      <c r="E6" s="9" t="s">
        <v>119</v>
      </c>
      <c r="F6" s="96"/>
    </row>
    <row r="7" spans="1:8" ht="45.75" customHeight="1">
      <c r="A7" s="14" t="s">
        <v>120</v>
      </c>
      <c r="B7" s="10" t="s">
        <v>360</v>
      </c>
      <c r="C7" s="336" t="s">
        <v>116</v>
      </c>
      <c r="D7" s="10">
        <v>1496</v>
      </c>
      <c r="E7" s="68">
        <v>545</v>
      </c>
      <c r="F7" s="167"/>
      <c r="G7" s="174"/>
      <c r="H7" s="217"/>
    </row>
    <row r="8" spans="1:8" ht="48" customHeight="1">
      <c r="A8" s="14" t="s">
        <v>117</v>
      </c>
      <c r="B8" s="10" t="s">
        <v>360</v>
      </c>
      <c r="C8" s="337"/>
      <c r="D8" s="10">
        <v>3400</v>
      </c>
      <c r="E8" s="68">
        <v>3342</v>
      </c>
      <c r="F8" s="167"/>
      <c r="G8" s="28"/>
      <c r="H8" s="216"/>
    </row>
    <row r="9" spans="1:8" ht="47.25" customHeight="1">
      <c r="A9" s="57" t="s">
        <v>361</v>
      </c>
      <c r="B9" s="10" t="s">
        <v>360</v>
      </c>
      <c r="C9" s="337"/>
      <c r="D9" s="10">
        <v>15</v>
      </c>
      <c r="E9" s="10">
        <v>15</v>
      </c>
      <c r="F9" s="90"/>
      <c r="G9" s="23"/>
      <c r="H9" s="189"/>
    </row>
    <row r="10" spans="1:8" ht="49.5" customHeight="1">
      <c r="A10" s="14" t="s">
        <v>362</v>
      </c>
      <c r="B10" s="10" t="s">
        <v>360</v>
      </c>
      <c r="C10" s="337"/>
      <c r="D10" s="10">
        <v>15</v>
      </c>
      <c r="E10" s="10">
        <v>15</v>
      </c>
      <c r="F10" s="90"/>
      <c r="G10" s="23"/>
      <c r="H10" s="236"/>
    </row>
    <row r="11" spans="1:8" ht="42" customHeight="1">
      <c r="A11" s="57" t="s">
        <v>51</v>
      </c>
      <c r="B11" s="10" t="s">
        <v>360</v>
      </c>
      <c r="C11" s="337"/>
      <c r="D11" s="10">
        <v>4</v>
      </c>
      <c r="E11" s="10">
        <v>3</v>
      </c>
      <c r="F11" s="191"/>
      <c r="G11" s="178"/>
      <c r="H11" s="226"/>
    </row>
    <row r="12" spans="1:8" ht="33" customHeight="1">
      <c r="A12" s="14" t="s">
        <v>371</v>
      </c>
      <c r="B12" s="10" t="s">
        <v>360</v>
      </c>
      <c r="C12" s="337"/>
      <c r="D12" s="10">
        <v>12</v>
      </c>
      <c r="E12" s="68">
        <v>13</v>
      </c>
      <c r="F12" s="167"/>
      <c r="G12" s="227"/>
      <c r="H12" s="145"/>
    </row>
    <row r="13" spans="1:8" ht="36.75" customHeight="1">
      <c r="A13" s="14" t="s">
        <v>363</v>
      </c>
      <c r="B13" s="10" t="s">
        <v>360</v>
      </c>
      <c r="C13" s="337"/>
      <c r="D13" s="10">
        <v>0.4</v>
      </c>
      <c r="E13" s="10">
        <v>0.4</v>
      </c>
      <c r="F13" s="90"/>
      <c r="G13" s="228"/>
      <c r="H13" s="145"/>
    </row>
    <row r="14" spans="1:8" ht="45.75" customHeight="1">
      <c r="A14" s="14" t="s">
        <v>118</v>
      </c>
      <c r="B14" s="10" t="s">
        <v>360</v>
      </c>
      <c r="C14" s="337"/>
      <c r="D14" s="10">
        <v>550</v>
      </c>
      <c r="E14" s="8">
        <v>250</v>
      </c>
      <c r="F14" s="218"/>
      <c r="G14" s="23"/>
      <c r="H14" s="237"/>
    </row>
    <row r="15" spans="1:8" ht="57" customHeight="1">
      <c r="A15" s="14" t="s">
        <v>364</v>
      </c>
      <c r="B15" s="10" t="s">
        <v>360</v>
      </c>
      <c r="C15" s="338"/>
      <c r="D15" s="10">
        <v>1</v>
      </c>
      <c r="E15" s="19">
        <v>1</v>
      </c>
      <c r="F15" s="85"/>
      <c r="G15" s="23"/>
      <c r="H15" s="217"/>
    </row>
    <row r="16" ht="12.75">
      <c r="H16" s="60"/>
    </row>
    <row r="17" spans="1:6" ht="16.5" customHeight="1">
      <c r="A17" s="306" t="s">
        <v>122</v>
      </c>
      <c r="B17" s="306"/>
      <c r="C17" s="306"/>
      <c r="D17" s="306"/>
      <c r="E17" s="306"/>
      <c r="F17" s="100"/>
    </row>
    <row r="18" ht="12.75">
      <c r="A18" s="2"/>
    </row>
    <row r="19" spans="1:6" ht="45.75" customHeight="1">
      <c r="A19" s="5" t="s">
        <v>260</v>
      </c>
      <c r="B19" s="5" t="s">
        <v>261</v>
      </c>
      <c r="C19" s="5" t="s">
        <v>262</v>
      </c>
      <c r="D19" s="3" t="s">
        <v>259</v>
      </c>
      <c r="E19" s="14" t="s">
        <v>373</v>
      </c>
      <c r="F19" s="108"/>
    </row>
    <row r="20" spans="1:6" ht="43.5" customHeight="1">
      <c r="A20" s="320" t="s">
        <v>27</v>
      </c>
      <c r="B20" s="25" t="s">
        <v>150</v>
      </c>
      <c r="C20" s="15">
        <v>1</v>
      </c>
      <c r="D20" s="4">
        <v>5</v>
      </c>
      <c r="E20" s="19">
        <v>5</v>
      </c>
      <c r="F20" s="85"/>
    </row>
    <row r="21" spans="1:6" ht="30" customHeight="1">
      <c r="A21" s="321"/>
      <c r="B21" s="25" t="s">
        <v>151</v>
      </c>
      <c r="C21" s="15">
        <v>0</v>
      </c>
      <c r="D21" s="4"/>
      <c r="E21" s="19"/>
      <c r="F21" s="85"/>
    </row>
    <row r="22" spans="1:6" ht="19.5" customHeight="1">
      <c r="A22" s="320" t="s">
        <v>28</v>
      </c>
      <c r="B22" s="25" t="s">
        <v>150</v>
      </c>
      <c r="C22" s="15">
        <v>1</v>
      </c>
      <c r="D22" s="4">
        <v>5</v>
      </c>
      <c r="E22" s="19">
        <v>5</v>
      </c>
      <c r="F22" s="85"/>
    </row>
    <row r="23" spans="1:6" ht="43.5" customHeight="1">
      <c r="A23" s="321"/>
      <c r="B23" s="25" t="s">
        <v>151</v>
      </c>
      <c r="C23" s="15">
        <v>0</v>
      </c>
      <c r="D23" s="4"/>
      <c r="E23" s="19"/>
      <c r="F23" s="85"/>
    </row>
    <row r="24" spans="1:6" ht="25.5" customHeight="1">
      <c r="A24" s="320" t="s">
        <v>29</v>
      </c>
      <c r="B24" s="25" t="s">
        <v>150</v>
      </c>
      <c r="C24" s="15">
        <v>1</v>
      </c>
      <c r="D24" s="4">
        <v>5</v>
      </c>
      <c r="E24" s="19">
        <v>5</v>
      </c>
      <c r="F24" s="85"/>
    </row>
    <row r="25" spans="1:6" ht="51" customHeight="1">
      <c r="A25" s="321"/>
      <c r="B25" s="25" t="s">
        <v>151</v>
      </c>
      <c r="C25" s="15">
        <v>0</v>
      </c>
      <c r="D25" s="4"/>
      <c r="E25" s="165"/>
      <c r="F25" s="219"/>
    </row>
    <row r="26" spans="1:6" ht="72" customHeight="1">
      <c r="A26" s="53" t="s">
        <v>30</v>
      </c>
      <c r="B26" s="25" t="s">
        <v>31</v>
      </c>
      <c r="C26" s="15" t="s">
        <v>346</v>
      </c>
      <c r="D26" s="4">
        <v>20</v>
      </c>
      <c r="E26" s="27">
        <f>D26*0.667</f>
        <v>13.34</v>
      </c>
      <c r="F26" s="219"/>
    </row>
    <row r="27" spans="1:6" ht="17.25" customHeight="1">
      <c r="A27" s="325" t="s">
        <v>153</v>
      </c>
      <c r="B27" s="326"/>
      <c r="C27" s="326"/>
      <c r="D27" s="327"/>
      <c r="E27" s="210"/>
      <c r="F27" s="220"/>
    </row>
    <row r="28" spans="1:6" ht="20.25" customHeight="1">
      <c r="A28" s="341" t="s">
        <v>154</v>
      </c>
      <c r="B28" s="342"/>
      <c r="C28" s="342"/>
      <c r="D28" s="342"/>
      <c r="E28" s="343"/>
      <c r="F28" s="221"/>
    </row>
    <row r="29" spans="1:8" ht="69" customHeight="1">
      <c r="A29" s="53" t="s">
        <v>32</v>
      </c>
      <c r="B29" s="82" t="s">
        <v>33</v>
      </c>
      <c r="C29" s="4" t="s">
        <v>123</v>
      </c>
      <c r="D29" s="4">
        <v>10</v>
      </c>
      <c r="E29" s="27">
        <f>D29*0.3</f>
        <v>3</v>
      </c>
      <c r="F29" s="119"/>
      <c r="G29" s="47"/>
      <c r="H29" s="144"/>
    </row>
    <row r="30" spans="1:8" ht="72.75" customHeight="1">
      <c r="A30" s="53" t="s">
        <v>34</v>
      </c>
      <c r="B30" s="82" t="s">
        <v>35</v>
      </c>
      <c r="C30" s="4" t="s">
        <v>344</v>
      </c>
      <c r="D30" s="4">
        <v>5</v>
      </c>
      <c r="E30" s="19">
        <f>D30*0.7</f>
        <v>3.5</v>
      </c>
      <c r="F30" s="219"/>
      <c r="G30" s="47"/>
      <c r="H30" s="144"/>
    </row>
    <row r="31" spans="1:6" ht="16.5" customHeight="1">
      <c r="A31" s="344" t="s">
        <v>36</v>
      </c>
      <c r="B31" s="345"/>
      <c r="C31" s="345"/>
      <c r="D31" s="345"/>
      <c r="E31" s="346"/>
      <c r="F31" s="222"/>
    </row>
    <row r="32" spans="1:8" ht="69.75" customHeight="1">
      <c r="A32" s="53" t="s">
        <v>37</v>
      </c>
      <c r="B32" s="82" t="s">
        <v>35</v>
      </c>
      <c r="C32" s="4" t="s">
        <v>124</v>
      </c>
      <c r="D32" s="4">
        <v>5</v>
      </c>
      <c r="E32" s="27">
        <f>D32*0.685</f>
        <v>3.4250000000000003</v>
      </c>
      <c r="F32" s="119"/>
      <c r="G32" s="47"/>
      <c r="H32" s="144"/>
    </row>
    <row r="33" spans="1:8" ht="71.25" customHeight="1">
      <c r="A33" s="53" t="s">
        <v>38</v>
      </c>
      <c r="B33" s="82" t="s">
        <v>35</v>
      </c>
      <c r="C33" s="4" t="s">
        <v>345</v>
      </c>
      <c r="D33" s="4">
        <v>5</v>
      </c>
      <c r="E33" s="27">
        <f>D33*0.925</f>
        <v>4.625</v>
      </c>
      <c r="F33" s="219"/>
      <c r="G33" s="37"/>
      <c r="H33" s="144"/>
    </row>
    <row r="34" spans="1:6" ht="12.75" customHeight="1">
      <c r="A34" s="325" t="s">
        <v>39</v>
      </c>
      <c r="B34" s="326"/>
      <c r="C34" s="326"/>
      <c r="D34" s="327"/>
      <c r="E34" s="210"/>
      <c r="F34" s="220"/>
    </row>
    <row r="35" spans="1:6" ht="26.25" customHeight="1">
      <c r="A35" s="296" t="s">
        <v>40</v>
      </c>
      <c r="B35" s="297"/>
      <c r="C35" s="297"/>
      <c r="D35" s="298"/>
      <c r="E35" s="210"/>
      <c r="F35" s="220"/>
    </row>
    <row r="36" spans="1:9" ht="53.25" customHeight="1">
      <c r="A36" s="53" t="s">
        <v>41</v>
      </c>
      <c r="B36" s="82" t="s">
        <v>348</v>
      </c>
      <c r="C36" s="4" t="s">
        <v>126</v>
      </c>
      <c r="D36" s="4">
        <v>5</v>
      </c>
      <c r="E36" s="27">
        <f>D36*0.914</f>
        <v>4.57</v>
      </c>
      <c r="F36" s="223"/>
      <c r="G36" s="275"/>
      <c r="H36" s="340"/>
      <c r="I36" s="60"/>
    </row>
    <row r="37" spans="1:7" ht="48.75" customHeight="1">
      <c r="A37" s="53" t="s">
        <v>349</v>
      </c>
      <c r="B37" s="82" t="s">
        <v>348</v>
      </c>
      <c r="C37" s="4" t="s">
        <v>125</v>
      </c>
      <c r="D37" s="4">
        <v>5</v>
      </c>
      <c r="E37" s="27">
        <f>D37*0.859</f>
        <v>4.295</v>
      </c>
      <c r="F37" s="119"/>
      <c r="G37" s="37"/>
    </row>
    <row r="38" spans="1:6" ht="27" customHeight="1">
      <c r="A38" s="341" t="s">
        <v>350</v>
      </c>
      <c r="B38" s="342"/>
      <c r="C38" s="342"/>
      <c r="D38" s="342"/>
      <c r="E38" s="343"/>
      <c r="F38" s="221"/>
    </row>
    <row r="39" spans="1:6" ht="78.75" customHeight="1">
      <c r="A39" s="53" t="s">
        <v>351</v>
      </c>
      <c r="B39" s="82" t="s">
        <v>348</v>
      </c>
      <c r="C39" s="4" t="s">
        <v>125</v>
      </c>
      <c r="D39" s="4">
        <v>10</v>
      </c>
      <c r="E39" s="27">
        <f>D39*0.859</f>
        <v>8.59</v>
      </c>
      <c r="F39" s="119"/>
    </row>
    <row r="40" spans="1:6" ht="79.5" customHeight="1">
      <c r="A40" s="53" t="s">
        <v>352</v>
      </c>
      <c r="B40" s="82" t="s">
        <v>348</v>
      </c>
      <c r="C40" s="4" t="s">
        <v>145</v>
      </c>
      <c r="D40" s="4">
        <v>0</v>
      </c>
      <c r="E40" s="15" t="s">
        <v>372</v>
      </c>
      <c r="F40" s="224"/>
    </row>
    <row r="41" spans="1:7" ht="60">
      <c r="A41" s="53" t="s">
        <v>353</v>
      </c>
      <c r="B41" s="82" t="s">
        <v>348</v>
      </c>
      <c r="C41" s="4" t="s">
        <v>127</v>
      </c>
      <c r="D41" s="4">
        <v>5</v>
      </c>
      <c r="E41" s="19">
        <f>D41*0.136</f>
        <v>0.68</v>
      </c>
      <c r="F41" s="85"/>
      <c r="G41" s="144"/>
    </row>
    <row r="42" spans="1:6" ht="78.75" customHeight="1">
      <c r="A42" s="53" t="s">
        <v>354</v>
      </c>
      <c r="B42" s="82" t="s">
        <v>348</v>
      </c>
      <c r="C42" s="4" t="s">
        <v>152</v>
      </c>
      <c r="D42" s="4">
        <v>0</v>
      </c>
      <c r="E42" s="211" t="s">
        <v>372</v>
      </c>
      <c r="F42" s="225"/>
    </row>
    <row r="43" spans="1:6" ht="36">
      <c r="A43" s="53" t="s">
        <v>355</v>
      </c>
      <c r="B43" s="82" t="s">
        <v>356</v>
      </c>
      <c r="C43" s="4" t="s">
        <v>152</v>
      </c>
      <c r="D43" s="4">
        <v>0</v>
      </c>
      <c r="E43" s="211" t="s">
        <v>372</v>
      </c>
      <c r="F43" s="225"/>
    </row>
    <row r="44" spans="1:6" ht="12.75">
      <c r="A44" s="24" t="s">
        <v>374</v>
      </c>
      <c r="B44" s="24"/>
      <c r="C44" s="31"/>
      <c r="D44" s="212">
        <f>D43+D42+D41+D40+D39+D37+D36+D33+D32+D30+D29+D26+D24+D22++D20</f>
        <v>85</v>
      </c>
      <c r="E44" s="213">
        <f>E41+E39+E37+E36+E33+E32+E30+E29+E26+E24+E22+E20</f>
        <v>61.025000000000006</v>
      </c>
      <c r="F44" s="215">
        <f>E44/D44*100</f>
        <v>71.79411764705883</v>
      </c>
    </row>
    <row r="45" spans="1:6" ht="12.75">
      <c r="A45" s="66"/>
      <c r="B45" s="66"/>
      <c r="C45" s="61"/>
      <c r="D45" s="214"/>
      <c r="E45" s="215"/>
      <c r="F45" s="215"/>
    </row>
    <row r="46" spans="1:4" ht="12.75">
      <c r="A46" s="16" t="s">
        <v>26</v>
      </c>
      <c r="D46" s="214"/>
    </row>
    <row r="47" spans="1:7" ht="147.75" customHeight="1">
      <c r="A47" s="315" t="s">
        <v>171</v>
      </c>
      <c r="B47" s="315"/>
      <c r="C47" s="315"/>
      <c r="D47" s="315"/>
      <c r="E47" s="315"/>
      <c r="F47" s="315"/>
      <c r="G47" s="71"/>
    </row>
    <row r="48" spans="1:7" ht="24.75" customHeight="1">
      <c r="A48" s="315" t="s">
        <v>129</v>
      </c>
      <c r="B48" s="315"/>
      <c r="C48" s="315"/>
      <c r="D48" s="315"/>
      <c r="E48" s="315"/>
      <c r="F48" s="315"/>
      <c r="G48" s="71"/>
    </row>
    <row r="50" spans="1:5" ht="24" customHeight="1">
      <c r="A50" s="290" t="s">
        <v>128</v>
      </c>
      <c r="B50" s="290"/>
      <c r="E50" s="79" t="s">
        <v>84</v>
      </c>
    </row>
    <row r="51" spans="1:2" ht="24" customHeight="1">
      <c r="A51" s="248"/>
      <c r="B51" s="248"/>
    </row>
    <row r="52" spans="4:6" ht="12.75">
      <c r="D52" s="1"/>
      <c r="F52" s="268"/>
    </row>
    <row r="53" ht="12.75">
      <c r="F53" s="268"/>
    </row>
    <row r="54" ht="12.75">
      <c r="F54" s="268"/>
    </row>
    <row r="55" ht="12.75">
      <c r="E55" s="1"/>
    </row>
    <row r="56" ht="12.75" customHeight="1">
      <c r="B56" s="79"/>
    </row>
    <row r="57" ht="26.25" customHeight="1"/>
    <row r="58" ht="27" customHeight="1"/>
    <row r="59" ht="45.75" customHeight="1"/>
    <row r="80" ht="12.75">
      <c r="A80" s="37"/>
    </row>
  </sheetData>
  <mergeCells count="19">
    <mergeCell ref="A50:B50"/>
    <mergeCell ref="A34:D34"/>
    <mergeCell ref="A35:D35"/>
    <mergeCell ref="A47:F47"/>
    <mergeCell ref="A48:F48"/>
    <mergeCell ref="A17:E17"/>
    <mergeCell ref="C7:C15"/>
    <mergeCell ref="C5:E5"/>
    <mergeCell ref="A1:E1"/>
    <mergeCell ref="A2:E2"/>
    <mergeCell ref="A3:E3"/>
    <mergeCell ref="G36:H36"/>
    <mergeCell ref="A38:E38"/>
    <mergeCell ref="A20:A21"/>
    <mergeCell ref="A22:A23"/>
    <mergeCell ref="A24:A25"/>
    <mergeCell ref="A27:D27"/>
    <mergeCell ref="A28:E28"/>
    <mergeCell ref="A31:E31"/>
  </mergeCells>
  <printOptions/>
  <pageMargins left="0.3937007874015748" right="0.1968503937007874" top="0.7874015748031497" bottom="0.1968503937007874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Z52"/>
  <sheetViews>
    <sheetView workbookViewId="0" topLeftCell="A4">
      <selection activeCell="K21" sqref="K21"/>
    </sheetView>
  </sheetViews>
  <sheetFormatPr defaultColWidth="9.00390625" defaultRowHeight="12.75"/>
  <cols>
    <col min="1" max="1" width="35.75390625" style="1" customWidth="1"/>
    <col min="2" max="2" width="23.25390625" style="1" customWidth="1"/>
    <col min="3" max="3" width="6.625" style="1" customWidth="1"/>
    <col min="4" max="4" width="7.00390625" style="1" customWidth="1"/>
    <col min="5" max="5" width="6.875" style="1" customWidth="1"/>
    <col min="6" max="6" width="6.25390625" style="1" customWidth="1"/>
    <col min="7" max="7" width="5.875" style="1" customWidth="1"/>
    <col min="8" max="8" width="5.75390625" style="1" customWidth="1"/>
    <col min="9" max="9" width="5.875" style="1" customWidth="1"/>
    <col min="10" max="10" width="5.75390625" style="1" customWidth="1"/>
    <col min="11" max="11" width="13.375" style="35" customWidth="1"/>
    <col min="12" max="12" width="12.875" style="1" customWidth="1"/>
    <col min="13" max="13" width="9.125" style="1" customWidth="1"/>
    <col min="14" max="14" width="46.125" style="1" customWidth="1"/>
    <col min="15" max="19" width="9.125" style="1" customWidth="1"/>
    <col min="20" max="20" width="26.125" style="1" customWidth="1"/>
    <col min="21" max="16384" width="9.125" style="1" customWidth="1"/>
  </cols>
  <sheetData>
    <row r="1" ht="12.75"/>
    <row r="2" spans="1:12" ht="12.75">
      <c r="A2" s="322" t="s">
        <v>385</v>
      </c>
      <c r="B2" s="322"/>
      <c r="C2" s="322"/>
      <c r="D2" s="322"/>
      <c r="E2" s="322"/>
      <c r="F2" s="384"/>
      <c r="G2" s="384"/>
      <c r="H2" s="384"/>
      <c r="I2" s="384"/>
      <c r="J2" s="384"/>
      <c r="K2" s="384"/>
      <c r="L2" s="384"/>
    </row>
    <row r="3" spans="1:12" ht="33" customHeight="1">
      <c r="A3" s="281" t="s">
        <v>381</v>
      </c>
      <c r="B3" s="281"/>
      <c r="C3" s="281"/>
      <c r="D3" s="281"/>
      <c r="E3" s="384"/>
      <c r="F3" s="384"/>
      <c r="G3" s="384"/>
      <c r="H3" s="384"/>
      <c r="I3" s="384"/>
      <c r="J3" s="384"/>
      <c r="K3" s="384"/>
      <c r="L3" s="384"/>
    </row>
    <row r="4" spans="1:4" ht="14.25" customHeight="1">
      <c r="A4" s="58"/>
      <c r="B4" s="58"/>
      <c r="C4" s="58"/>
      <c r="D4" s="58"/>
    </row>
    <row r="5" ht="12.75">
      <c r="A5" s="16" t="s">
        <v>384</v>
      </c>
    </row>
    <row r="6" spans="1:12" s="81" customFormat="1" ht="33.75" customHeight="1">
      <c r="A6" s="8" t="s">
        <v>358</v>
      </c>
      <c r="B6" s="8" t="s">
        <v>359</v>
      </c>
      <c r="C6" s="347" t="s">
        <v>393</v>
      </c>
      <c r="D6" s="347"/>
      <c r="E6" s="347"/>
      <c r="F6" s="347"/>
      <c r="G6" s="347"/>
      <c r="H6" s="347"/>
      <c r="I6" s="389"/>
      <c r="J6" s="389"/>
      <c r="K6" s="389"/>
      <c r="L6" s="390"/>
    </row>
    <row r="7" spans="1:12" s="81" customFormat="1" ht="36">
      <c r="A7" s="8"/>
      <c r="B7" s="8"/>
      <c r="C7" s="8" t="s">
        <v>392</v>
      </c>
      <c r="D7" s="8" t="s">
        <v>394</v>
      </c>
      <c r="E7" s="8" t="s">
        <v>366</v>
      </c>
      <c r="F7" s="8" t="s">
        <v>291</v>
      </c>
      <c r="G7" s="8" t="s">
        <v>395</v>
      </c>
      <c r="H7" s="8" t="s">
        <v>292</v>
      </c>
      <c r="I7" s="8" t="s">
        <v>161</v>
      </c>
      <c r="J7" s="8" t="s">
        <v>162</v>
      </c>
      <c r="K7" s="8" t="s">
        <v>163</v>
      </c>
      <c r="L7" s="8" t="s">
        <v>164</v>
      </c>
    </row>
    <row r="8" spans="1:14" ht="57.75" customHeight="1">
      <c r="A8" s="9" t="s">
        <v>365</v>
      </c>
      <c r="B8" s="78" t="s">
        <v>453</v>
      </c>
      <c r="C8" s="8" t="s">
        <v>2</v>
      </c>
      <c r="D8" s="8">
        <v>10</v>
      </c>
      <c r="E8" s="68" t="s">
        <v>451</v>
      </c>
      <c r="F8" s="9" t="s">
        <v>396</v>
      </c>
      <c r="G8" s="57">
        <v>0</v>
      </c>
      <c r="H8" s="69">
        <v>0</v>
      </c>
      <c r="I8" s="57">
        <v>0</v>
      </c>
      <c r="J8" s="69">
        <v>0</v>
      </c>
      <c r="K8" s="68">
        <v>60</v>
      </c>
      <c r="L8" s="116">
        <v>60</v>
      </c>
      <c r="N8" s="94"/>
    </row>
    <row r="9" spans="1:14" ht="69" customHeight="1">
      <c r="A9" s="9" t="s">
        <v>0</v>
      </c>
      <c r="B9" s="78" t="s">
        <v>454</v>
      </c>
      <c r="C9" s="8" t="s">
        <v>1</v>
      </c>
      <c r="D9" s="8">
        <v>0</v>
      </c>
      <c r="E9" s="70" t="s">
        <v>452</v>
      </c>
      <c r="F9" s="8">
        <v>3</v>
      </c>
      <c r="G9" s="75">
        <v>0</v>
      </c>
      <c r="H9" s="69">
        <v>0</v>
      </c>
      <c r="I9" s="75">
        <v>0</v>
      </c>
      <c r="J9" s="69">
        <v>0</v>
      </c>
      <c r="K9" s="68">
        <v>17</v>
      </c>
      <c r="L9" s="68">
        <f>D9+F9</f>
        <v>3</v>
      </c>
      <c r="N9" s="94"/>
    </row>
    <row r="10" spans="1:14" ht="47.25" customHeight="1">
      <c r="A10" s="383" t="s">
        <v>157</v>
      </c>
      <c r="B10" s="78" t="s">
        <v>158</v>
      </c>
      <c r="C10" s="8">
        <v>0</v>
      </c>
      <c r="D10" s="8">
        <v>0</v>
      </c>
      <c r="E10" s="70" t="s">
        <v>160</v>
      </c>
      <c r="F10" s="8">
        <v>0</v>
      </c>
      <c r="G10" s="75">
        <v>11.4</v>
      </c>
      <c r="H10" s="69">
        <f>4.4079+4.6921</f>
        <v>9.1</v>
      </c>
      <c r="I10" s="75">
        <v>4.7</v>
      </c>
      <c r="J10" s="265">
        <v>6</v>
      </c>
      <c r="K10" s="68">
        <v>16.1</v>
      </c>
      <c r="L10" s="273">
        <f>H10+J10</f>
        <v>15.1</v>
      </c>
      <c r="N10" s="94"/>
    </row>
    <row r="11" spans="1:15" ht="36.75" customHeight="1">
      <c r="A11" s="383"/>
      <c r="B11" s="78" t="s">
        <v>159</v>
      </c>
      <c r="C11" s="8">
        <v>0</v>
      </c>
      <c r="D11" s="8">
        <v>0</v>
      </c>
      <c r="E11" s="70" t="s">
        <v>160</v>
      </c>
      <c r="F11" s="8">
        <v>0</v>
      </c>
      <c r="G11" s="75">
        <v>35</v>
      </c>
      <c r="H11" s="69">
        <f>20+10</f>
        <v>30</v>
      </c>
      <c r="I11" s="75">
        <v>21</v>
      </c>
      <c r="J11" s="69">
        <v>22</v>
      </c>
      <c r="K11" s="68">
        <v>56</v>
      </c>
      <c r="L11" s="68">
        <f>H11+J11</f>
        <v>52</v>
      </c>
      <c r="N11" s="94"/>
      <c r="O11" s="94"/>
    </row>
    <row r="12" spans="1:4" ht="26.25" customHeight="1">
      <c r="A12" s="306" t="s">
        <v>92</v>
      </c>
      <c r="B12" s="306"/>
      <c r="C12" s="306"/>
      <c r="D12" s="306"/>
    </row>
    <row r="13" ht="12.75">
      <c r="A13" s="2"/>
    </row>
    <row r="14" spans="1:5" ht="67.5" customHeight="1">
      <c r="A14" s="5" t="s">
        <v>260</v>
      </c>
      <c r="B14" s="5" t="s">
        <v>261</v>
      </c>
      <c r="C14" s="5" t="s">
        <v>262</v>
      </c>
      <c r="D14" s="5" t="s">
        <v>259</v>
      </c>
      <c r="E14" s="14" t="s">
        <v>373</v>
      </c>
    </row>
    <row r="15" spans="1:5" ht="23.25" customHeight="1">
      <c r="A15" s="339" t="s">
        <v>27</v>
      </c>
      <c r="B15" s="25" t="s">
        <v>150</v>
      </c>
      <c r="C15" s="4">
        <v>1</v>
      </c>
      <c r="D15" s="4">
        <v>5</v>
      </c>
      <c r="E15" s="19">
        <v>5</v>
      </c>
    </row>
    <row r="16" spans="1:5" ht="32.25" customHeight="1">
      <c r="A16" s="317"/>
      <c r="B16" s="25" t="s">
        <v>151</v>
      </c>
      <c r="C16" s="4">
        <v>0</v>
      </c>
      <c r="D16" s="4"/>
      <c r="E16" s="19"/>
    </row>
    <row r="17" spans="1:5" ht="24" customHeight="1">
      <c r="A17" s="339" t="s">
        <v>28</v>
      </c>
      <c r="B17" s="25" t="s">
        <v>150</v>
      </c>
      <c r="C17" s="4">
        <v>1</v>
      </c>
      <c r="D17" s="4">
        <v>5</v>
      </c>
      <c r="E17" s="19">
        <v>5</v>
      </c>
    </row>
    <row r="18" spans="1:5" ht="23.25" customHeight="1">
      <c r="A18" s="317"/>
      <c r="B18" s="25" t="s">
        <v>151</v>
      </c>
      <c r="C18" s="4">
        <v>0</v>
      </c>
      <c r="D18" s="4"/>
      <c r="E18" s="19"/>
    </row>
    <row r="19" spans="1:5" ht="25.5" customHeight="1">
      <c r="A19" s="339" t="s">
        <v>29</v>
      </c>
      <c r="B19" s="25" t="s">
        <v>150</v>
      </c>
      <c r="C19" s="4">
        <v>1</v>
      </c>
      <c r="D19" s="4">
        <v>5</v>
      </c>
      <c r="E19" s="19">
        <v>5</v>
      </c>
    </row>
    <row r="20" spans="1:5" ht="29.25" customHeight="1">
      <c r="A20" s="317"/>
      <c r="B20" s="25" t="s">
        <v>151</v>
      </c>
      <c r="C20" s="4">
        <v>0</v>
      </c>
      <c r="D20" s="4"/>
      <c r="E20" s="18"/>
    </row>
    <row r="21" spans="1:5" ht="44.25" customHeight="1">
      <c r="A21" s="25" t="s">
        <v>30</v>
      </c>
      <c r="B21" s="82" t="s">
        <v>31</v>
      </c>
      <c r="C21" s="8" t="s">
        <v>152</v>
      </c>
      <c r="D21" s="8">
        <v>20</v>
      </c>
      <c r="E21" s="19">
        <f>D21*0.76</f>
        <v>15.2</v>
      </c>
    </row>
    <row r="22" spans="1:5" ht="17.25" customHeight="1">
      <c r="A22" s="299" t="s">
        <v>153</v>
      </c>
      <c r="B22" s="300"/>
      <c r="C22" s="300"/>
      <c r="D22" s="300"/>
      <c r="E22" s="301"/>
    </row>
    <row r="23" spans="1:5" ht="20.25" customHeight="1">
      <c r="A23" s="325" t="s">
        <v>154</v>
      </c>
      <c r="B23" s="326"/>
      <c r="C23" s="326"/>
      <c r="D23" s="326"/>
      <c r="E23" s="327"/>
    </row>
    <row r="24" spans="1:26" ht="51">
      <c r="A24" s="25" t="s">
        <v>32</v>
      </c>
      <c r="B24" s="82" t="s">
        <v>33</v>
      </c>
      <c r="C24" s="4" t="s">
        <v>293</v>
      </c>
      <c r="D24" s="4">
        <v>10</v>
      </c>
      <c r="E24" s="27">
        <f>D24*0.829</f>
        <v>8.29</v>
      </c>
      <c r="H24" s="47"/>
      <c r="J24" s="47"/>
      <c r="N24" s="246"/>
      <c r="O24" s="246"/>
      <c r="P24" s="246"/>
      <c r="Q24" s="246"/>
      <c r="R24" s="47"/>
      <c r="S24" s="47"/>
      <c r="T24" s="47"/>
      <c r="U24" s="246"/>
      <c r="V24" s="246"/>
      <c r="W24" s="246"/>
      <c r="X24" s="246"/>
      <c r="Y24" s="22"/>
      <c r="Z24" s="22"/>
    </row>
    <row r="25" spans="1:26" ht="48.75">
      <c r="A25" s="25" t="s">
        <v>34</v>
      </c>
      <c r="B25" s="82" t="s">
        <v>35</v>
      </c>
      <c r="C25" s="4" t="s">
        <v>152</v>
      </c>
      <c r="D25" s="4">
        <v>0</v>
      </c>
      <c r="E25" s="19">
        <f>D25*1</f>
        <v>0</v>
      </c>
      <c r="F25" s="28"/>
      <c r="H25" s="47"/>
      <c r="J25" s="23"/>
      <c r="N25" s="246"/>
      <c r="O25" s="47"/>
      <c r="P25" s="47"/>
      <c r="Q25" s="186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" customHeight="1">
      <c r="A26" s="386" t="s">
        <v>36</v>
      </c>
      <c r="B26" s="387"/>
      <c r="C26" s="387"/>
      <c r="D26" s="387"/>
      <c r="E26" s="387"/>
      <c r="F26" s="387"/>
      <c r="N26" s="244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51.75" customHeight="1">
      <c r="A27" s="25" t="s">
        <v>37</v>
      </c>
      <c r="B27" s="82" t="s">
        <v>35</v>
      </c>
      <c r="C27" s="4" t="s">
        <v>10</v>
      </c>
      <c r="D27" s="4">
        <v>5</v>
      </c>
      <c r="E27" s="27">
        <f>D27*0.79</f>
        <v>3.95</v>
      </c>
      <c r="H27" s="47"/>
      <c r="J27" s="47"/>
      <c r="N27" s="246"/>
      <c r="O27" s="246"/>
      <c r="P27" s="246"/>
      <c r="Q27" s="246"/>
      <c r="R27" s="246"/>
      <c r="S27" s="246"/>
      <c r="T27" s="246"/>
      <c r="U27" s="246"/>
      <c r="V27" s="22"/>
      <c r="W27" s="22"/>
      <c r="X27" s="22"/>
      <c r="Y27" s="22"/>
      <c r="Z27" s="22"/>
    </row>
    <row r="28" spans="1:26" ht="53.25" customHeight="1">
      <c r="A28" s="25" t="s">
        <v>38</v>
      </c>
      <c r="B28" s="82" t="s">
        <v>35</v>
      </c>
      <c r="C28" s="4" t="s">
        <v>376</v>
      </c>
      <c r="D28" s="4">
        <v>5</v>
      </c>
      <c r="E28" s="19">
        <f>D28*1</f>
        <v>5</v>
      </c>
      <c r="H28" s="47"/>
      <c r="J28" s="47"/>
      <c r="N28" s="246"/>
      <c r="O28" s="246"/>
      <c r="P28" s="246"/>
      <c r="Q28" s="246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4.75" customHeight="1">
      <c r="A29" s="299" t="s">
        <v>39</v>
      </c>
      <c r="B29" s="300"/>
      <c r="C29" s="300"/>
      <c r="D29" s="300"/>
      <c r="E29" s="301"/>
      <c r="N29" s="244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6.25" customHeight="1">
      <c r="A30" s="296" t="s">
        <v>40</v>
      </c>
      <c r="B30" s="297"/>
      <c r="C30" s="297"/>
      <c r="D30" s="298"/>
      <c r="E30" s="19"/>
      <c r="N30" s="244"/>
      <c r="O30" s="22"/>
      <c r="P30" s="22"/>
      <c r="Q30" s="246"/>
      <c r="R30" s="246"/>
      <c r="S30" s="246"/>
      <c r="T30" s="246"/>
      <c r="U30" s="22"/>
      <c r="V30" s="22"/>
      <c r="W30" s="22"/>
      <c r="X30" s="22"/>
      <c r="Y30" s="22"/>
      <c r="Z30" s="22"/>
    </row>
    <row r="31" spans="1:26" ht="51.75" customHeight="1">
      <c r="A31" s="25" t="s">
        <v>41</v>
      </c>
      <c r="B31" s="82" t="s">
        <v>348</v>
      </c>
      <c r="C31" s="4" t="s">
        <v>7</v>
      </c>
      <c r="D31" s="4">
        <v>5</v>
      </c>
      <c r="E31" s="27">
        <f>D31*0.99</f>
        <v>4.95</v>
      </c>
      <c r="N31" s="246"/>
      <c r="O31" s="246"/>
      <c r="P31" s="246"/>
      <c r="Q31" s="271"/>
      <c r="R31" s="22"/>
      <c r="S31" s="22"/>
      <c r="T31" s="47"/>
      <c r="U31" s="22"/>
      <c r="V31" s="22"/>
      <c r="W31" s="22"/>
      <c r="X31" s="22"/>
      <c r="Y31" s="22"/>
      <c r="Z31" s="22"/>
    </row>
    <row r="32" spans="1:26" ht="39">
      <c r="A32" s="25" t="s">
        <v>349</v>
      </c>
      <c r="B32" s="82" t="s">
        <v>348</v>
      </c>
      <c r="C32" s="4" t="s">
        <v>320</v>
      </c>
      <c r="D32" s="4">
        <v>5</v>
      </c>
      <c r="E32" s="27">
        <f>D32*0.87</f>
        <v>4.35</v>
      </c>
      <c r="N32" s="244"/>
      <c r="O32" s="22"/>
      <c r="P32" s="22"/>
      <c r="Q32" s="271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7" customHeight="1">
      <c r="A33" s="341" t="s">
        <v>350</v>
      </c>
      <c r="B33" s="342"/>
      <c r="C33" s="342"/>
      <c r="D33" s="342"/>
      <c r="E33" s="343"/>
      <c r="N33" s="244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45">
      <c r="A34" s="25" t="s">
        <v>351</v>
      </c>
      <c r="B34" s="82" t="s">
        <v>348</v>
      </c>
      <c r="C34" s="4" t="s">
        <v>81</v>
      </c>
      <c r="D34" s="4">
        <v>10</v>
      </c>
      <c r="E34" s="27">
        <f>D34*0.88</f>
        <v>8.8</v>
      </c>
      <c r="N34" s="27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5" ht="45">
      <c r="A35" s="25" t="s">
        <v>352</v>
      </c>
      <c r="B35" s="82" t="s">
        <v>348</v>
      </c>
      <c r="C35" s="4" t="s">
        <v>152</v>
      </c>
      <c r="D35" s="4"/>
      <c r="E35" s="33" t="s">
        <v>372</v>
      </c>
    </row>
    <row r="36" spans="1:17" ht="45" customHeight="1">
      <c r="A36" s="25" t="s">
        <v>353</v>
      </c>
      <c r="B36" s="82" t="s">
        <v>348</v>
      </c>
      <c r="C36" s="15" t="s">
        <v>305</v>
      </c>
      <c r="D36" s="4">
        <v>5</v>
      </c>
      <c r="E36" s="113">
        <f>D36*0.757</f>
        <v>3.785</v>
      </c>
      <c r="N36" s="245"/>
      <c r="O36" s="245"/>
      <c r="P36" s="245"/>
      <c r="Q36" s="258"/>
    </row>
    <row r="37" spans="1:5" ht="56.25">
      <c r="A37" s="25" t="s">
        <v>354</v>
      </c>
      <c r="B37" s="82" t="s">
        <v>348</v>
      </c>
      <c r="C37" s="4" t="s">
        <v>152</v>
      </c>
      <c r="D37" s="4"/>
      <c r="E37" s="33" t="s">
        <v>372</v>
      </c>
    </row>
    <row r="38" spans="1:5" ht="33" customHeight="1">
      <c r="A38" s="25" t="s">
        <v>355</v>
      </c>
      <c r="B38" s="82" t="s">
        <v>356</v>
      </c>
      <c r="C38" s="4" t="s">
        <v>152</v>
      </c>
      <c r="D38" s="4"/>
      <c r="E38" s="33" t="s">
        <v>372</v>
      </c>
    </row>
    <row r="39" spans="1:6" ht="12.75">
      <c r="A39" s="24" t="s">
        <v>374</v>
      </c>
      <c r="B39" s="25"/>
      <c r="C39" s="20"/>
      <c r="D39" s="20">
        <f>D38+D37+D36+D35+D34+D32+D31+D28+D27+D25+D24+D21+D19+D17++D15</f>
        <v>80</v>
      </c>
      <c r="E39" s="32">
        <f>E34+E32+E31+E28+E27+E25+E24+E21+E19+E17+E15+E36</f>
        <v>69.325</v>
      </c>
      <c r="F39" s="93">
        <f>E39/D39*100</f>
        <v>86.65625</v>
      </c>
    </row>
    <row r="40" spans="1:4" ht="12.75" customHeight="1">
      <c r="A40" s="288" t="s">
        <v>26</v>
      </c>
      <c r="B40" s="288"/>
      <c r="C40" s="288"/>
      <c r="D40" s="288"/>
    </row>
    <row r="41" spans="1:11" ht="99.75" customHeight="1">
      <c r="A41" s="385" t="s">
        <v>11</v>
      </c>
      <c r="B41" s="385"/>
      <c r="C41" s="385"/>
      <c r="D41" s="385"/>
      <c r="E41" s="385"/>
      <c r="F41" s="385"/>
      <c r="G41" s="385"/>
      <c r="H41" s="384"/>
      <c r="I41" s="384"/>
      <c r="J41" s="384"/>
      <c r="K41" s="384"/>
    </row>
    <row r="42" spans="1:9" ht="17.25" customHeight="1">
      <c r="A42" s="45"/>
      <c r="B42" s="83"/>
      <c r="C42" s="83"/>
      <c r="D42" s="83"/>
      <c r="E42" s="83"/>
      <c r="F42" s="83"/>
      <c r="G42" s="83"/>
      <c r="I42" s="83"/>
    </row>
    <row r="43" ht="12.75">
      <c r="A43" s="1" t="s">
        <v>306</v>
      </c>
    </row>
    <row r="44" spans="1:6" ht="12.75">
      <c r="A44" s="1" t="s">
        <v>388</v>
      </c>
      <c r="F44" s="1" t="s">
        <v>84</v>
      </c>
    </row>
    <row r="45" spans="1:2" ht="12.75">
      <c r="A45" s="2"/>
      <c r="B45" s="16"/>
    </row>
    <row r="46" spans="1:4" ht="12.75">
      <c r="A46" s="388"/>
      <c r="B46" s="388"/>
      <c r="C46" s="388"/>
      <c r="D46" s="388"/>
    </row>
    <row r="47" ht="17.25" customHeight="1"/>
    <row r="48" spans="11:13" ht="12.75">
      <c r="K48" s="142"/>
      <c r="M48" s="35"/>
    </row>
    <row r="49" ht="12.75">
      <c r="K49" s="1"/>
    </row>
    <row r="50" spans="1:11" ht="12.75">
      <c r="A50" s="37"/>
      <c r="K50" s="1"/>
    </row>
    <row r="51" spans="1:11" ht="12.75">
      <c r="A51" s="37"/>
      <c r="K51" s="1"/>
    </row>
    <row r="52" ht="12.75">
      <c r="K52" s="1"/>
    </row>
  </sheetData>
  <mergeCells count="17">
    <mergeCell ref="A46:D46"/>
    <mergeCell ref="A33:E33"/>
    <mergeCell ref="A2:L2"/>
    <mergeCell ref="A12:D12"/>
    <mergeCell ref="A15:A16"/>
    <mergeCell ref="A17:A18"/>
    <mergeCell ref="C6:L6"/>
    <mergeCell ref="A23:E23"/>
    <mergeCell ref="A22:E22"/>
    <mergeCell ref="A29:E29"/>
    <mergeCell ref="A10:A11"/>
    <mergeCell ref="A3:L3"/>
    <mergeCell ref="A19:A20"/>
    <mergeCell ref="A41:K41"/>
    <mergeCell ref="A26:F26"/>
    <mergeCell ref="A30:D30"/>
    <mergeCell ref="A40:D40"/>
  </mergeCells>
  <printOptions/>
  <pageMargins left="0.3937007874015748" right="0.3937007874015748" top="0.3937007874015748" bottom="0.1968503937007874" header="0.5118110236220472" footer="0.5118110236220472"/>
  <pageSetup fitToHeight="0" fitToWidth="1"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60"/>
  <sheetViews>
    <sheetView workbookViewId="0" topLeftCell="A1">
      <selection activeCell="N9" sqref="N9"/>
    </sheetView>
  </sheetViews>
  <sheetFormatPr defaultColWidth="9.00390625" defaultRowHeight="12.75"/>
  <cols>
    <col min="1" max="1" width="32.125" style="1" customWidth="1"/>
    <col min="2" max="2" width="21.125" style="1" customWidth="1"/>
    <col min="3" max="3" width="8.00390625" style="1" customWidth="1"/>
    <col min="4" max="4" width="7.125" style="1" customWidth="1"/>
    <col min="5" max="5" width="7.00390625" style="1" customWidth="1"/>
    <col min="6" max="6" width="5.25390625" style="1" customWidth="1"/>
    <col min="7" max="7" width="8.00390625" style="1" customWidth="1"/>
    <col min="8" max="9" width="8.375" style="1" customWidth="1"/>
    <col min="10" max="10" width="9.25390625" style="1" customWidth="1"/>
    <col min="11" max="11" width="9.25390625" style="142" customWidth="1"/>
    <col min="12" max="12" width="9.125" style="1" customWidth="1"/>
    <col min="13" max="13" width="9.125" style="35" customWidth="1"/>
    <col min="14" max="14" width="48.25390625" style="1" customWidth="1"/>
    <col min="15" max="16" width="9.125" style="1" customWidth="1"/>
    <col min="17" max="17" width="5.125" style="1" customWidth="1"/>
    <col min="18" max="16384" width="9.125" style="1" customWidth="1"/>
  </cols>
  <sheetData>
    <row r="1" spans="1:11" ht="12.75" customHeight="1">
      <c r="A1" s="306" t="s">
        <v>382</v>
      </c>
      <c r="B1" s="306"/>
      <c r="C1" s="306"/>
      <c r="D1" s="306"/>
      <c r="E1" s="306"/>
      <c r="F1" s="306"/>
      <c r="G1" s="71"/>
      <c r="H1" s="71"/>
      <c r="I1" s="71"/>
      <c r="J1" s="71"/>
      <c r="K1" s="1"/>
    </row>
    <row r="2" spans="1:11" ht="12.75" customHeight="1">
      <c r="A2" s="323" t="s">
        <v>46</v>
      </c>
      <c r="B2" s="323"/>
      <c r="C2" s="323"/>
      <c r="D2" s="323"/>
      <c r="E2" s="323"/>
      <c r="F2" s="323"/>
      <c r="G2" s="76"/>
      <c r="H2" s="76"/>
      <c r="I2" s="76"/>
      <c r="J2" s="76"/>
      <c r="K2" s="1"/>
    </row>
    <row r="3" spans="1:11" ht="12.75">
      <c r="A3" s="36"/>
      <c r="B3" s="36"/>
      <c r="C3" s="36"/>
      <c r="D3" s="36"/>
      <c r="K3" s="1"/>
    </row>
    <row r="4" spans="1:11" ht="12.75">
      <c r="A4" s="359" t="s">
        <v>384</v>
      </c>
      <c r="B4" s="359"/>
      <c r="C4" s="359"/>
      <c r="D4" s="359"/>
      <c r="H4" s="264"/>
      <c r="J4" s="264"/>
      <c r="K4" s="1"/>
    </row>
    <row r="5" spans="1:18" s="81" customFormat="1" ht="31.5" customHeight="1">
      <c r="A5" s="347" t="s">
        <v>358</v>
      </c>
      <c r="B5" s="347" t="s">
        <v>359</v>
      </c>
      <c r="C5" s="368" t="s">
        <v>474</v>
      </c>
      <c r="D5" s="369"/>
      <c r="E5" s="369"/>
      <c r="F5" s="369"/>
      <c r="G5" s="369"/>
      <c r="H5" s="369"/>
      <c r="I5" s="370"/>
      <c r="J5" s="371"/>
      <c r="K5" s="362" t="s">
        <v>243</v>
      </c>
      <c r="M5" s="410"/>
      <c r="N5" s="410"/>
      <c r="O5" s="410"/>
      <c r="P5" s="410"/>
      <c r="Q5" s="410"/>
      <c r="R5" s="410"/>
    </row>
    <row r="6" spans="1:18" s="81" customFormat="1" ht="35.25" customHeight="1">
      <c r="A6" s="365"/>
      <c r="B6" s="365"/>
      <c r="C6" s="105" t="s">
        <v>69</v>
      </c>
      <c r="D6" s="102" t="s">
        <v>70</v>
      </c>
      <c r="E6" s="102" t="s">
        <v>71</v>
      </c>
      <c r="F6" s="102" t="s">
        <v>72</v>
      </c>
      <c r="G6" s="102" t="s">
        <v>73</v>
      </c>
      <c r="H6" s="102" t="s">
        <v>74</v>
      </c>
      <c r="I6" s="102" t="s">
        <v>47</v>
      </c>
      <c r="J6" s="102" t="s">
        <v>48</v>
      </c>
      <c r="K6" s="362"/>
      <c r="M6" s="410"/>
      <c r="N6" s="410"/>
      <c r="O6" s="410"/>
      <c r="P6" s="410"/>
      <c r="Q6" s="410"/>
      <c r="R6" s="410"/>
    </row>
    <row r="7" spans="1:18" ht="36">
      <c r="A7" s="9" t="s">
        <v>3</v>
      </c>
      <c r="B7" s="25" t="s">
        <v>251</v>
      </c>
      <c r="C7" s="8">
        <v>274.3</v>
      </c>
      <c r="D7" s="8">
        <v>270</v>
      </c>
      <c r="E7" s="68">
        <v>274.3</v>
      </c>
      <c r="F7" s="116">
        <v>270</v>
      </c>
      <c r="G7" s="68">
        <v>275.2</v>
      </c>
      <c r="H7" s="115">
        <v>275.2</v>
      </c>
      <c r="I7" s="251">
        <v>275.2</v>
      </c>
      <c r="J7" s="152">
        <v>275.2</v>
      </c>
      <c r="K7" s="116">
        <v>306.2</v>
      </c>
      <c r="M7" s="411"/>
      <c r="N7" s="412"/>
      <c r="O7" s="412"/>
      <c r="P7" s="412"/>
      <c r="Q7" s="412"/>
      <c r="R7" s="412"/>
    </row>
    <row r="8" spans="1:18" s="114" customFormat="1" ht="65.25" customHeight="1">
      <c r="A8" s="366" t="s">
        <v>475</v>
      </c>
      <c r="B8" s="117" t="s">
        <v>252</v>
      </c>
      <c r="C8" s="8">
        <v>66.2</v>
      </c>
      <c r="D8" s="8"/>
      <c r="E8" s="68">
        <v>84.76</v>
      </c>
      <c r="F8" s="68"/>
      <c r="G8" s="252">
        <v>101.36</v>
      </c>
      <c r="H8" s="115">
        <v>97.414</v>
      </c>
      <c r="I8" s="252">
        <v>106.105</v>
      </c>
      <c r="J8" s="253">
        <v>106.1</v>
      </c>
      <c r="K8" s="116">
        <v>117.203</v>
      </c>
      <c r="M8" s="410"/>
      <c r="N8" s="413"/>
      <c r="O8" s="413"/>
      <c r="P8" s="413"/>
      <c r="Q8" s="413"/>
      <c r="R8" s="413"/>
    </row>
    <row r="9" spans="1:18" s="114" customFormat="1" ht="68.25" customHeight="1">
      <c r="A9" s="367"/>
      <c r="B9" s="117" t="s">
        <v>253</v>
      </c>
      <c r="C9" s="8">
        <v>0</v>
      </c>
      <c r="D9" s="8">
        <v>0</v>
      </c>
      <c r="E9" s="68">
        <v>0</v>
      </c>
      <c r="F9" s="68">
        <v>0</v>
      </c>
      <c r="G9" s="68">
        <v>0</v>
      </c>
      <c r="H9" s="115">
        <v>0</v>
      </c>
      <c r="I9" s="68">
        <v>0</v>
      </c>
      <c r="J9" s="115">
        <v>34.9</v>
      </c>
      <c r="K9" s="116">
        <v>50.5</v>
      </c>
      <c r="M9" s="410"/>
      <c r="N9" s="413"/>
      <c r="O9" s="413"/>
      <c r="P9" s="413"/>
      <c r="Q9" s="413"/>
      <c r="R9" s="413"/>
    </row>
    <row r="10" spans="1:18" ht="24">
      <c r="A10" s="75" t="s">
        <v>4</v>
      </c>
      <c r="B10" s="25" t="s">
        <v>254</v>
      </c>
      <c r="C10" s="8">
        <v>26.28</v>
      </c>
      <c r="D10" s="8">
        <v>26.28</v>
      </c>
      <c r="E10" s="68">
        <v>26.28</v>
      </c>
      <c r="F10" s="68">
        <v>26.28</v>
      </c>
      <c r="G10" s="68">
        <v>26.28</v>
      </c>
      <c r="H10" s="106">
        <v>26.28</v>
      </c>
      <c r="I10" s="68">
        <v>26.28</v>
      </c>
      <c r="J10" s="106">
        <v>26.28</v>
      </c>
      <c r="K10" s="68">
        <v>34.88</v>
      </c>
      <c r="M10" s="411"/>
      <c r="N10" s="412"/>
      <c r="O10" s="412"/>
      <c r="P10" s="412"/>
      <c r="Q10" s="412"/>
      <c r="R10" s="412"/>
    </row>
    <row r="11" spans="1:18" ht="25.5" customHeight="1">
      <c r="A11" s="75" t="s">
        <v>5</v>
      </c>
      <c r="B11" s="25" t="s">
        <v>255</v>
      </c>
      <c r="C11" s="8">
        <v>548</v>
      </c>
      <c r="D11" s="8" t="s">
        <v>438</v>
      </c>
      <c r="E11" s="68">
        <v>860</v>
      </c>
      <c r="F11" s="68">
        <v>860</v>
      </c>
      <c r="G11" s="116">
        <v>860</v>
      </c>
      <c r="H11" s="115">
        <v>860</v>
      </c>
      <c r="I11" s="116">
        <v>860</v>
      </c>
      <c r="J11" s="115">
        <v>860</v>
      </c>
      <c r="K11" s="116">
        <v>860</v>
      </c>
      <c r="M11" s="411"/>
      <c r="N11" s="412"/>
      <c r="O11" s="412"/>
      <c r="P11" s="412"/>
      <c r="Q11" s="412"/>
      <c r="R11" s="412"/>
    </row>
    <row r="12" spans="1:18" ht="27.75" customHeight="1">
      <c r="A12" s="69" t="s">
        <v>459</v>
      </c>
      <c r="B12" s="25" t="s">
        <v>471</v>
      </c>
      <c r="C12" s="68">
        <v>0</v>
      </c>
      <c r="D12" s="68">
        <v>0</v>
      </c>
      <c r="E12" s="68">
        <v>6091.38</v>
      </c>
      <c r="F12" s="68">
        <v>6332</v>
      </c>
      <c r="G12" s="116">
        <v>6091.38</v>
      </c>
      <c r="H12" s="254">
        <v>6091.38</v>
      </c>
      <c r="I12" s="255">
        <v>6091.38</v>
      </c>
      <c r="J12" s="254">
        <v>6091.38</v>
      </c>
      <c r="K12" s="116">
        <v>6091.38</v>
      </c>
      <c r="M12" s="411"/>
      <c r="N12" s="412"/>
      <c r="O12" s="412"/>
      <c r="P12" s="412"/>
      <c r="Q12" s="412"/>
      <c r="R12" s="412"/>
    </row>
    <row r="13" spans="1:18" ht="32.25" customHeight="1">
      <c r="A13" s="69" t="s">
        <v>247</v>
      </c>
      <c r="B13" s="25" t="s">
        <v>472</v>
      </c>
      <c r="C13" s="68">
        <v>36.68</v>
      </c>
      <c r="D13" s="68">
        <v>0</v>
      </c>
      <c r="E13" s="68">
        <v>36.68</v>
      </c>
      <c r="F13" s="68">
        <v>0</v>
      </c>
      <c r="G13" s="116">
        <v>45.83</v>
      </c>
      <c r="H13" s="115">
        <v>46.45</v>
      </c>
      <c r="I13" s="116">
        <v>45.83</v>
      </c>
      <c r="J13" s="115">
        <v>45.83</v>
      </c>
      <c r="K13" s="116">
        <v>45.83</v>
      </c>
      <c r="M13" s="411"/>
      <c r="N13" s="412"/>
      <c r="O13" s="412"/>
      <c r="P13" s="412"/>
      <c r="Q13" s="412"/>
      <c r="R13" s="412"/>
    </row>
    <row r="14" spans="1:18" ht="39" customHeight="1">
      <c r="A14" s="75" t="s">
        <v>248</v>
      </c>
      <c r="B14" s="25" t="s">
        <v>473</v>
      </c>
      <c r="C14" s="68">
        <v>3</v>
      </c>
      <c r="D14" s="68">
        <v>3</v>
      </c>
      <c r="E14" s="68">
        <v>3</v>
      </c>
      <c r="F14" s="68">
        <v>3</v>
      </c>
      <c r="G14" s="116">
        <v>4</v>
      </c>
      <c r="H14" s="115">
        <v>4</v>
      </c>
      <c r="I14" s="116">
        <v>5</v>
      </c>
      <c r="J14" s="115">
        <v>5</v>
      </c>
      <c r="K14" s="116">
        <v>5</v>
      </c>
      <c r="M14" s="411"/>
      <c r="N14" s="412"/>
      <c r="O14" s="412"/>
      <c r="P14" s="412"/>
      <c r="Q14" s="412"/>
      <c r="R14" s="412"/>
    </row>
    <row r="15" spans="1:18" ht="72" customHeight="1">
      <c r="A15" s="75" t="s">
        <v>249</v>
      </c>
      <c r="B15" s="25" t="s">
        <v>250</v>
      </c>
      <c r="C15" s="68">
        <v>250</v>
      </c>
      <c r="D15" s="68">
        <v>250</v>
      </c>
      <c r="E15" s="68">
        <v>250</v>
      </c>
      <c r="F15" s="68">
        <v>0</v>
      </c>
      <c r="G15" s="116">
        <v>0</v>
      </c>
      <c r="H15" s="115">
        <v>0</v>
      </c>
      <c r="I15" s="116">
        <v>0</v>
      </c>
      <c r="J15" s="115">
        <v>0</v>
      </c>
      <c r="K15" s="116">
        <v>0</v>
      </c>
      <c r="M15" s="411"/>
      <c r="N15" s="412"/>
      <c r="O15" s="412"/>
      <c r="P15" s="412"/>
      <c r="Q15" s="412"/>
      <c r="R15" s="412"/>
    </row>
    <row r="16" spans="1:18" ht="24.75" customHeight="1">
      <c r="A16" s="75" t="s">
        <v>134</v>
      </c>
      <c r="B16" s="25" t="s">
        <v>135</v>
      </c>
      <c r="C16" s="68">
        <v>40.13</v>
      </c>
      <c r="D16" s="68">
        <v>40.13</v>
      </c>
      <c r="E16" s="68">
        <v>40.13</v>
      </c>
      <c r="F16" s="68">
        <v>40.13</v>
      </c>
      <c r="G16" s="116">
        <v>40.13</v>
      </c>
      <c r="H16" s="115">
        <v>40.13</v>
      </c>
      <c r="I16" s="116">
        <v>40.342</v>
      </c>
      <c r="J16" s="115">
        <v>40.13</v>
      </c>
      <c r="K16" s="116">
        <v>40.342</v>
      </c>
      <c r="M16" s="411"/>
      <c r="N16" s="412"/>
      <c r="O16" s="412"/>
      <c r="P16" s="412"/>
      <c r="Q16" s="412"/>
      <c r="R16" s="412"/>
    </row>
    <row r="17" spans="1:18" ht="36.75" customHeight="1">
      <c r="A17" s="363" t="s">
        <v>137</v>
      </c>
      <c r="B17" s="25" t="s">
        <v>136</v>
      </c>
      <c r="C17" s="68">
        <v>36.3</v>
      </c>
      <c r="D17" s="68">
        <v>36.3</v>
      </c>
      <c r="E17" s="68">
        <v>36.3</v>
      </c>
      <c r="F17" s="68">
        <v>36.3</v>
      </c>
      <c r="G17" s="116">
        <v>40.5</v>
      </c>
      <c r="H17" s="115">
        <v>36.3</v>
      </c>
      <c r="I17" s="116">
        <v>40.5</v>
      </c>
      <c r="J17" s="115">
        <v>40.7</v>
      </c>
      <c r="K17" s="116">
        <v>40.5</v>
      </c>
      <c r="M17" s="411"/>
      <c r="N17" s="412"/>
      <c r="O17" s="412"/>
      <c r="P17" s="412"/>
      <c r="Q17" s="412"/>
      <c r="R17" s="412"/>
    </row>
    <row r="18" spans="1:18" ht="36.75" customHeight="1">
      <c r="A18" s="364"/>
      <c r="B18" s="25" t="s">
        <v>165</v>
      </c>
      <c r="C18" s="68">
        <v>0</v>
      </c>
      <c r="D18" s="68">
        <v>0</v>
      </c>
      <c r="E18" s="68">
        <v>0</v>
      </c>
      <c r="F18" s="68">
        <v>0</v>
      </c>
      <c r="G18" s="116">
        <v>0</v>
      </c>
      <c r="H18" s="115">
        <v>0</v>
      </c>
      <c r="I18" s="116">
        <v>6.256</v>
      </c>
      <c r="J18" s="115">
        <v>5.6</v>
      </c>
      <c r="K18" s="116">
        <v>6.256</v>
      </c>
      <c r="M18" s="411"/>
      <c r="N18" s="412"/>
      <c r="O18" s="412"/>
      <c r="P18" s="412"/>
      <c r="Q18" s="412"/>
      <c r="R18" s="412"/>
    </row>
    <row r="19" spans="1:18" ht="46.5" customHeight="1">
      <c r="A19" s="363" t="s">
        <v>138</v>
      </c>
      <c r="B19" s="25" t="s">
        <v>139</v>
      </c>
      <c r="C19" s="68">
        <v>0</v>
      </c>
      <c r="D19" s="68">
        <v>0</v>
      </c>
      <c r="E19" s="68">
        <v>0</v>
      </c>
      <c r="F19" s="68">
        <v>0</v>
      </c>
      <c r="G19" s="116">
        <v>2</v>
      </c>
      <c r="H19" s="115">
        <v>0</v>
      </c>
      <c r="I19" s="116">
        <v>2</v>
      </c>
      <c r="J19" s="115">
        <v>1</v>
      </c>
      <c r="K19" s="116">
        <v>5</v>
      </c>
      <c r="M19" s="411"/>
      <c r="N19" s="412"/>
      <c r="O19" s="412"/>
      <c r="P19" s="412"/>
      <c r="Q19" s="412"/>
      <c r="R19" s="412"/>
    </row>
    <row r="20" spans="1:18" ht="88.5" customHeight="1">
      <c r="A20" s="364"/>
      <c r="B20" s="25" t="s">
        <v>140</v>
      </c>
      <c r="C20" s="68">
        <v>0</v>
      </c>
      <c r="D20" s="68">
        <v>0</v>
      </c>
      <c r="E20" s="68">
        <v>0</v>
      </c>
      <c r="F20" s="68">
        <v>0</v>
      </c>
      <c r="G20" s="116">
        <v>40</v>
      </c>
      <c r="H20" s="115">
        <v>0</v>
      </c>
      <c r="I20" s="116">
        <v>40</v>
      </c>
      <c r="J20" s="115">
        <v>20</v>
      </c>
      <c r="K20" s="116">
        <v>100</v>
      </c>
      <c r="M20" s="411"/>
      <c r="N20" s="412"/>
      <c r="O20" s="412"/>
      <c r="P20" s="412"/>
      <c r="Q20" s="412"/>
      <c r="R20" s="412"/>
    </row>
    <row r="21" spans="1:18" ht="37.5" customHeight="1">
      <c r="A21" s="75" t="s">
        <v>166</v>
      </c>
      <c r="B21" s="25" t="s">
        <v>167</v>
      </c>
      <c r="C21" s="68">
        <v>0</v>
      </c>
      <c r="D21" s="68">
        <v>0</v>
      </c>
      <c r="E21" s="68">
        <v>0</v>
      </c>
      <c r="F21" s="68">
        <v>0</v>
      </c>
      <c r="G21" s="116">
        <v>0</v>
      </c>
      <c r="H21" s="115">
        <v>0</v>
      </c>
      <c r="I21" s="116">
        <v>28.375</v>
      </c>
      <c r="J21" s="115">
        <v>28.375</v>
      </c>
      <c r="K21" s="116">
        <v>28.375</v>
      </c>
      <c r="M21" s="411"/>
      <c r="N21" s="412"/>
      <c r="O21" s="412"/>
      <c r="P21" s="412"/>
      <c r="Q21" s="412"/>
      <c r="R21" s="412"/>
    </row>
    <row r="22" spans="1:18" ht="13.5" customHeight="1">
      <c r="A22" s="166"/>
      <c r="B22" s="48"/>
      <c r="C22" s="167"/>
      <c r="D22" s="167"/>
      <c r="E22" s="167"/>
      <c r="F22" s="167"/>
      <c r="G22" s="168"/>
      <c r="H22" s="169"/>
      <c r="I22" s="168"/>
      <c r="J22" s="169"/>
      <c r="K22" s="168"/>
      <c r="M22" s="414"/>
      <c r="N22" s="412"/>
      <c r="O22" s="412"/>
      <c r="P22" s="412"/>
      <c r="Q22" s="412"/>
      <c r="R22" s="412"/>
    </row>
    <row r="23" spans="1:18" ht="16.5" customHeight="1">
      <c r="A23" s="306" t="s">
        <v>316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M23" s="411"/>
      <c r="N23" s="412"/>
      <c r="O23" s="412"/>
      <c r="P23" s="412"/>
      <c r="Q23" s="412"/>
      <c r="R23" s="412"/>
    </row>
    <row r="24" spans="1:18" ht="12.75">
      <c r="A24" s="2"/>
      <c r="K24" s="1"/>
      <c r="M24" s="411"/>
      <c r="N24" s="412"/>
      <c r="O24" s="412"/>
      <c r="P24" s="412"/>
      <c r="Q24" s="412"/>
      <c r="R24" s="412"/>
    </row>
    <row r="25" spans="1:18" s="97" customFormat="1" ht="36" customHeight="1">
      <c r="A25" s="10" t="s">
        <v>260</v>
      </c>
      <c r="B25" s="10" t="s">
        <v>261</v>
      </c>
      <c r="C25" s="10" t="s">
        <v>262</v>
      </c>
      <c r="D25" s="10" t="s">
        <v>259</v>
      </c>
      <c r="E25" s="110" t="s">
        <v>375</v>
      </c>
      <c r="M25" s="415"/>
      <c r="N25" s="415"/>
      <c r="O25" s="415"/>
      <c r="P25" s="415"/>
      <c r="Q25" s="415"/>
      <c r="R25" s="415"/>
    </row>
    <row r="26" spans="1:18" s="95" customFormat="1" ht="36" customHeight="1">
      <c r="A26" s="320" t="s">
        <v>27</v>
      </c>
      <c r="B26" s="53" t="s">
        <v>150</v>
      </c>
      <c r="C26" s="8">
        <v>1</v>
      </c>
      <c r="D26" s="8">
        <v>5</v>
      </c>
      <c r="E26" s="68">
        <v>5</v>
      </c>
      <c r="M26" s="416"/>
      <c r="N26" s="417"/>
      <c r="O26" s="417"/>
      <c r="P26" s="417"/>
      <c r="Q26" s="417"/>
      <c r="R26" s="417"/>
    </row>
    <row r="27" spans="1:18" s="95" customFormat="1" ht="49.5" customHeight="1">
      <c r="A27" s="321"/>
      <c r="B27" s="53" t="s">
        <v>151</v>
      </c>
      <c r="C27" s="8">
        <v>0</v>
      </c>
      <c r="D27" s="8"/>
      <c r="E27" s="68"/>
      <c r="M27" s="416"/>
      <c r="N27" s="417"/>
      <c r="O27" s="417"/>
      <c r="P27" s="417"/>
      <c r="Q27" s="417"/>
      <c r="R27" s="417"/>
    </row>
    <row r="28" spans="1:18" s="95" customFormat="1" ht="29.25" customHeight="1">
      <c r="A28" s="320" t="s">
        <v>28</v>
      </c>
      <c r="B28" s="53" t="s">
        <v>150</v>
      </c>
      <c r="C28" s="8">
        <v>1</v>
      </c>
      <c r="D28" s="8">
        <v>5</v>
      </c>
      <c r="E28" s="68">
        <v>5</v>
      </c>
      <c r="M28" s="416"/>
      <c r="N28" s="417"/>
      <c r="O28" s="417"/>
      <c r="P28" s="417"/>
      <c r="Q28" s="417"/>
      <c r="R28" s="417"/>
    </row>
    <row r="29" spans="1:18" s="95" customFormat="1" ht="35.25" customHeight="1">
      <c r="A29" s="321"/>
      <c r="B29" s="53" t="s">
        <v>151</v>
      </c>
      <c r="C29" s="8">
        <v>0</v>
      </c>
      <c r="D29" s="8"/>
      <c r="E29" s="68"/>
      <c r="M29" s="416"/>
      <c r="N29" s="417"/>
      <c r="O29" s="417"/>
      <c r="P29" s="417"/>
      <c r="Q29" s="417"/>
      <c r="R29" s="417"/>
    </row>
    <row r="30" spans="1:18" s="95" customFormat="1" ht="33.75" customHeight="1">
      <c r="A30" s="320" t="s">
        <v>29</v>
      </c>
      <c r="B30" s="53" t="s">
        <v>150</v>
      </c>
      <c r="C30" s="8">
        <v>1</v>
      </c>
      <c r="D30" s="8">
        <v>5</v>
      </c>
      <c r="E30" s="68">
        <v>5</v>
      </c>
      <c r="M30" s="416"/>
      <c r="N30" s="417"/>
      <c r="O30" s="417"/>
      <c r="P30" s="417"/>
      <c r="Q30" s="417"/>
      <c r="R30" s="417"/>
    </row>
    <row r="31" spans="1:18" s="95" customFormat="1" ht="51.75" customHeight="1">
      <c r="A31" s="321"/>
      <c r="B31" s="53" t="s">
        <v>151</v>
      </c>
      <c r="C31" s="8">
        <v>0</v>
      </c>
      <c r="D31" s="8"/>
      <c r="E31" s="68"/>
      <c r="M31" s="416"/>
      <c r="N31" s="417"/>
      <c r="O31" s="417"/>
      <c r="P31" s="417"/>
      <c r="Q31" s="417"/>
      <c r="R31" s="417"/>
    </row>
    <row r="32" spans="1:18" s="95" customFormat="1" ht="64.5" customHeight="1">
      <c r="A32" s="53" t="s">
        <v>30</v>
      </c>
      <c r="B32" s="82" t="s">
        <v>31</v>
      </c>
      <c r="C32" s="8" t="s">
        <v>98</v>
      </c>
      <c r="D32" s="8">
        <v>20</v>
      </c>
      <c r="E32" s="68">
        <f>D32*0.68</f>
        <v>13.600000000000001</v>
      </c>
      <c r="M32" s="416"/>
      <c r="N32" s="417"/>
      <c r="O32" s="417"/>
      <c r="P32" s="417"/>
      <c r="Q32" s="417"/>
      <c r="R32" s="417"/>
    </row>
    <row r="33" spans="1:18" ht="17.25" customHeight="1">
      <c r="A33" s="325" t="s">
        <v>153</v>
      </c>
      <c r="B33" s="326"/>
      <c r="C33" s="326"/>
      <c r="D33" s="326"/>
      <c r="E33" s="327"/>
      <c r="M33" s="411"/>
      <c r="N33" s="412"/>
      <c r="O33" s="412"/>
      <c r="P33" s="412"/>
      <c r="Q33" s="412"/>
      <c r="R33" s="412"/>
    </row>
    <row r="34" spans="1:18" ht="17.25" customHeight="1">
      <c r="A34" s="341" t="s">
        <v>154</v>
      </c>
      <c r="B34" s="342"/>
      <c r="C34" s="342"/>
      <c r="D34" s="342"/>
      <c r="E34" s="343"/>
      <c r="M34" s="411"/>
      <c r="N34" s="412"/>
      <c r="O34" s="412"/>
      <c r="P34" s="412"/>
      <c r="Q34" s="412"/>
      <c r="R34" s="412"/>
    </row>
    <row r="35" spans="1:18" ht="60" customHeight="1">
      <c r="A35" s="53" t="s">
        <v>32</v>
      </c>
      <c r="B35" s="82" t="s">
        <v>33</v>
      </c>
      <c r="C35" s="8" t="s">
        <v>141</v>
      </c>
      <c r="D35" s="8">
        <v>10</v>
      </c>
      <c r="E35" s="34">
        <f>D35*0.25</f>
        <v>2.5</v>
      </c>
      <c r="M35" s="411"/>
      <c r="N35" s="418"/>
      <c r="O35" s="412"/>
      <c r="P35" s="412"/>
      <c r="Q35" s="412"/>
      <c r="R35" s="412"/>
    </row>
    <row r="36" spans="1:18" ht="57.75" customHeight="1">
      <c r="A36" s="53" t="s">
        <v>34</v>
      </c>
      <c r="B36" s="82" t="s">
        <v>35</v>
      </c>
      <c r="C36" s="8" t="s">
        <v>401</v>
      </c>
      <c r="D36" s="123">
        <v>5</v>
      </c>
      <c r="E36" s="34">
        <f>D36*0.5</f>
        <v>2.5</v>
      </c>
      <c r="L36" s="64"/>
      <c r="M36" s="411"/>
      <c r="N36" s="419"/>
      <c r="O36" s="412"/>
      <c r="P36" s="412"/>
      <c r="Q36" s="412"/>
      <c r="R36" s="412"/>
    </row>
    <row r="37" spans="1:18" ht="12.75" customHeight="1">
      <c r="A37" s="296" t="s">
        <v>36</v>
      </c>
      <c r="B37" s="297"/>
      <c r="C37" s="297"/>
      <c r="D37" s="298"/>
      <c r="E37" s="19"/>
      <c r="M37" s="411"/>
      <c r="N37" s="412"/>
      <c r="O37" s="412"/>
      <c r="P37" s="412"/>
      <c r="Q37" s="412"/>
      <c r="R37" s="412"/>
    </row>
    <row r="38" spans="1:18" ht="57" customHeight="1">
      <c r="A38" s="53" t="s">
        <v>37</v>
      </c>
      <c r="B38" s="82" t="s">
        <v>35</v>
      </c>
      <c r="C38" s="8" t="s">
        <v>450</v>
      </c>
      <c r="D38" s="8">
        <v>5</v>
      </c>
      <c r="E38" s="34">
        <f>D38*0.533</f>
        <v>2.665</v>
      </c>
      <c r="M38" s="411"/>
      <c r="N38" s="420"/>
      <c r="O38" s="412"/>
      <c r="P38" s="412"/>
      <c r="Q38" s="412"/>
      <c r="R38" s="412"/>
    </row>
    <row r="39" spans="1:21" ht="64.5" customHeight="1">
      <c r="A39" s="53" t="s">
        <v>38</v>
      </c>
      <c r="B39" s="82" t="s">
        <v>35</v>
      </c>
      <c r="C39" s="8" t="s">
        <v>449</v>
      </c>
      <c r="D39" s="123">
        <v>5</v>
      </c>
      <c r="E39" s="124">
        <f>D39*0.545</f>
        <v>2.725</v>
      </c>
      <c r="M39" s="411"/>
      <c r="N39" s="421"/>
      <c r="O39" s="422"/>
      <c r="P39" s="422"/>
      <c r="Q39" s="422"/>
      <c r="R39" s="422"/>
      <c r="S39" s="22"/>
      <c r="T39" s="22"/>
      <c r="U39" s="22"/>
    </row>
    <row r="40" spans="1:18" ht="30" customHeight="1">
      <c r="A40" s="325" t="s">
        <v>39</v>
      </c>
      <c r="B40" s="326"/>
      <c r="C40" s="326"/>
      <c r="D40" s="326"/>
      <c r="E40" s="327"/>
      <c r="M40" s="411"/>
      <c r="N40" s="423"/>
      <c r="O40" s="412"/>
      <c r="P40" s="412"/>
      <c r="Q40" s="412"/>
      <c r="R40" s="412"/>
    </row>
    <row r="41" spans="1:18" ht="26.25" customHeight="1">
      <c r="A41" s="341" t="s">
        <v>40</v>
      </c>
      <c r="B41" s="342"/>
      <c r="C41" s="342"/>
      <c r="D41" s="342"/>
      <c r="E41" s="343"/>
      <c r="M41" s="411"/>
      <c r="N41" s="417"/>
      <c r="O41" s="424"/>
      <c r="P41" s="424"/>
      <c r="Q41" s="425"/>
      <c r="R41" s="412"/>
    </row>
    <row r="42" spans="1:18" ht="51.75" customHeight="1">
      <c r="A42" s="3" t="s">
        <v>41</v>
      </c>
      <c r="B42" s="82" t="s">
        <v>348</v>
      </c>
      <c r="C42" s="10" t="s">
        <v>304</v>
      </c>
      <c r="D42" s="4">
        <v>5</v>
      </c>
      <c r="E42" s="27">
        <f>D42*0.973</f>
        <v>4.865</v>
      </c>
      <c r="M42" s="411"/>
      <c r="N42" s="426"/>
      <c r="O42" s="427"/>
      <c r="P42" s="427"/>
      <c r="Q42" s="425"/>
      <c r="R42" s="412"/>
    </row>
    <row r="43" spans="1:18" ht="56.25" customHeight="1">
      <c r="A43" s="3" t="s">
        <v>349</v>
      </c>
      <c r="B43" s="82" t="s">
        <v>348</v>
      </c>
      <c r="C43" s="10" t="s">
        <v>142</v>
      </c>
      <c r="D43" s="4">
        <v>5</v>
      </c>
      <c r="E43" s="27">
        <f>D43*0.984</f>
        <v>4.92</v>
      </c>
      <c r="M43" s="411"/>
      <c r="N43" s="426"/>
      <c r="O43" s="428"/>
      <c r="P43" s="428"/>
      <c r="Q43" s="425"/>
      <c r="R43" s="412"/>
    </row>
    <row r="44" spans="1:18" ht="27" customHeight="1">
      <c r="A44" s="341" t="s">
        <v>350</v>
      </c>
      <c r="B44" s="342"/>
      <c r="C44" s="342"/>
      <c r="D44" s="342"/>
      <c r="E44" s="343"/>
      <c r="M44" s="411"/>
      <c r="N44" s="429"/>
      <c r="O44" s="412"/>
      <c r="P44" s="412"/>
      <c r="Q44" s="412"/>
      <c r="R44" s="412"/>
    </row>
    <row r="45" spans="1:18" ht="66" customHeight="1">
      <c r="A45" s="3" t="s">
        <v>351</v>
      </c>
      <c r="B45" s="82" t="s">
        <v>348</v>
      </c>
      <c r="C45" s="10" t="s">
        <v>303</v>
      </c>
      <c r="D45" s="15">
        <v>10</v>
      </c>
      <c r="E45" s="124">
        <f>D45*0.999</f>
        <v>9.99</v>
      </c>
      <c r="M45" s="411"/>
      <c r="N45" s="426"/>
      <c r="O45" s="412"/>
      <c r="P45" s="412"/>
      <c r="Q45" s="412"/>
      <c r="R45" s="412"/>
    </row>
    <row r="46" spans="1:18" ht="64.5" customHeight="1">
      <c r="A46" s="3" t="s">
        <v>352</v>
      </c>
      <c r="B46" s="82" t="s">
        <v>348</v>
      </c>
      <c r="C46" s="10" t="s">
        <v>152</v>
      </c>
      <c r="D46" s="15"/>
      <c r="E46" s="33" t="s">
        <v>372</v>
      </c>
      <c r="M46" s="411"/>
      <c r="N46" s="426"/>
      <c r="O46" s="412"/>
      <c r="P46" s="412"/>
      <c r="Q46" s="412"/>
      <c r="R46" s="412"/>
    </row>
    <row r="47" spans="1:14" ht="63.75">
      <c r="A47" s="3" t="s">
        <v>353</v>
      </c>
      <c r="B47" s="82" t="s">
        <v>348</v>
      </c>
      <c r="C47" s="10" t="s">
        <v>302</v>
      </c>
      <c r="D47" s="15">
        <v>5</v>
      </c>
      <c r="E47" s="34">
        <f>D47*0.5</f>
        <v>2.5</v>
      </c>
      <c r="N47" s="257"/>
    </row>
    <row r="48" spans="1:14" ht="63.75" customHeight="1">
      <c r="A48" s="3" t="s">
        <v>354</v>
      </c>
      <c r="B48" s="82" t="s">
        <v>348</v>
      </c>
      <c r="C48" s="10" t="s">
        <v>152</v>
      </c>
      <c r="D48" s="4"/>
      <c r="E48" s="33" t="s">
        <v>372</v>
      </c>
      <c r="N48" s="257"/>
    </row>
    <row r="49" spans="1:14" ht="81.75" customHeight="1">
      <c r="A49" s="3" t="s">
        <v>319</v>
      </c>
      <c r="B49" s="82" t="s">
        <v>356</v>
      </c>
      <c r="C49" s="10"/>
      <c r="D49" s="4"/>
      <c r="E49" s="33" t="s">
        <v>372</v>
      </c>
      <c r="N49" s="256"/>
    </row>
    <row r="50" spans="1:14" ht="12.75">
      <c r="A50" s="20" t="s">
        <v>374</v>
      </c>
      <c r="B50" s="20"/>
      <c r="C50" s="20"/>
      <c r="D50" s="20">
        <f>D49+D48+D47+D46+D45+D43+D42+D39+D38+D36+D35+D32+D30+D28+D26</f>
        <v>85</v>
      </c>
      <c r="E50" s="20">
        <f>E47+E45+E43+E42+E39+E38+E36+E35+E32+E30+E28+E26</f>
        <v>61.265</v>
      </c>
      <c r="F50" s="125">
        <f>E50/D50*100</f>
        <v>72.0764705882353</v>
      </c>
      <c r="N50" s="256"/>
    </row>
    <row r="51" spans="1:14" ht="12.75" customHeight="1">
      <c r="A51" s="280"/>
      <c r="B51" s="280"/>
      <c r="C51" s="280"/>
      <c r="D51" s="280"/>
      <c r="N51" s="95"/>
    </row>
    <row r="52" spans="1:4" ht="18" customHeight="1">
      <c r="A52" s="288" t="s">
        <v>26</v>
      </c>
      <c r="B52" s="288"/>
      <c r="C52" s="288"/>
      <c r="D52" s="288"/>
    </row>
    <row r="53" spans="1:11" ht="79.5" customHeight="1">
      <c r="A53" s="293" t="s">
        <v>97</v>
      </c>
      <c r="B53" s="293"/>
      <c r="C53" s="293"/>
      <c r="D53" s="293"/>
      <c r="E53" s="293"/>
      <c r="F53" s="293"/>
      <c r="G53" s="293"/>
      <c r="H53" s="293"/>
      <c r="I53" s="361"/>
      <c r="J53" s="361"/>
      <c r="K53" s="361"/>
    </row>
    <row r="56" spans="1:13" ht="12.75">
      <c r="A56" s="1" t="s">
        <v>306</v>
      </c>
      <c r="K56" s="35"/>
      <c r="M56" s="1"/>
    </row>
    <row r="57" spans="1:13" ht="12.75">
      <c r="A57" s="1" t="s">
        <v>388</v>
      </c>
      <c r="F57" s="1" t="s">
        <v>84</v>
      </c>
      <c r="K57" s="35"/>
      <c r="M57" s="1"/>
    </row>
    <row r="58" spans="1:13" ht="12.75">
      <c r="A58" s="2"/>
      <c r="B58" s="16"/>
      <c r="K58" s="35"/>
      <c r="M58" s="1"/>
    </row>
    <row r="59" spans="11:13" ht="12.75">
      <c r="K59" s="35"/>
      <c r="M59" s="1"/>
    </row>
    <row r="60" spans="11:13" ht="17.25" customHeight="1">
      <c r="K60" s="35"/>
      <c r="M60" s="1"/>
    </row>
  </sheetData>
  <mergeCells count="24">
    <mergeCell ref="N39:R39"/>
    <mergeCell ref="A53:K53"/>
    <mergeCell ref="K5:K6"/>
    <mergeCell ref="A19:A20"/>
    <mergeCell ref="B5:B6"/>
    <mergeCell ref="A5:A6"/>
    <mergeCell ref="A8:A9"/>
    <mergeCell ref="C5:J5"/>
    <mergeCell ref="A17:A18"/>
    <mergeCell ref="A52:D52"/>
    <mergeCell ref="A51:D51"/>
    <mergeCell ref="A23:K23"/>
    <mergeCell ref="A44:E44"/>
    <mergeCell ref="A41:E41"/>
    <mergeCell ref="A26:A27"/>
    <mergeCell ref="A28:A29"/>
    <mergeCell ref="A2:F2"/>
    <mergeCell ref="A1:F1"/>
    <mergeCell ref="A40:E40"/>
    <mergeCell ref="A4:D4"/>
    <mergeCell ref="A33:E33"/>
    <mergeCell ref="A37:D37"/>
    <mergeCell ref="A34:E34"/>
    <mergeCell ref="A30:A31"/>
  </mergeCells>
  <printOptions/>
  <pageMargins left="0.1968503937007874" right="0" top="0.5905511811023623" bottom="0.1968503937007874" header="0.5118110236220472" footer="0.5118110236220472"/>
  <pageSetup fitToHeight="0" fitToWidth="1" horizontalDpi="600" verticalDpi="6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45"/>
  <sheetViews>
    <sheetView workbookViewId="0" topLeftCell="A34">
      <selection activeCell="J53" sqref="J53"/>
    </sheetView>
  </sheetViews>
  <sheetFormatPr defaultColWidth="9.00390625" defaultRowHeight="12.75"/>
  <cols>
    <col min="1" max="1" width="39.125" style="1" customWidth="1"/>
    <col min="2" max="2" width="19.875" style="1" customWidth="1"/>
    <col min="3" max="4" width="9.625" style="1" customWidth="1"/>
    <col min="5" max="5" width="9.125" style="1" customWidth="1"/>
    <col min="6" max="7" width="10.125" style="1" customWidth="1"/>
    <col min="8" max="8" width="11.625" style="1" bestFit="1" customWidth="1"/>
    <col min="9" max="16384" width="9.125" style="1" customWidth="1"/>
  </cols>
  <sheetData>
    <row r="1" spans="1:4" ht="21.75" customHeight="1">
      <c r="A1" s="322" t="s">
        <v>382</v>
      </c>
      <c r="B1" s="322"/>
      <c r="C1" s="322"/>
      <c r="D1" s="322"/>
    </row>
    <row r="2" spans="1:4" ht="22.5" customHeight="1">
      <c r="A2" s="281" t="s">
        <v>455</v>
      </c>
      <c r="B2" s="281"/>
      <c r="C2" s="281"/>
      <c r="D2" s="281"/>
    </row>
    <row r="3" spans="1:4" ht="9" customHeight="1">
      <c r="A3" s="58"/>
      <c r="B3" s="58"/>
      <c r="C3" s="58"/>
      <c r="D3" s="58"/>
    </row>
    <row r="4" ht="12.75">
      <c r="A4" s="16" t="s">
        <v>384</v>
      </c>
    </row>
    <row r="5" spans="1:7" ht="55.5" customHeight="1">
      <c r="A5" s="8" t="s">
        <v>358</v>
      </c>
      <c r="B5" s="8" t="s">
        <v>359</v>
      </c>
      <c r="C5" s="349" t="s">
        <v>368</v>
      </c>
      <c r="D5" s="350"/>
      <c r="E5" s="350"/>
      <c r="F5" s="351"/>
      <c r="G5" s="72"/>
    </row>
    <row r="6" spans="1:7" ht="24">
      <c r="A6" s="8"/>
      <c r="B6" s="8"/>
      <c r="C6" s="7" t="s">
        <v>54</v>
      </c>
      <c r="D6" s="7" t="s">
        <v>55</v>
      </c>
      <c r="E6" s="7" t="s">
        <v>56</v>
      </c>
      <c r="F6" s="7" t="s">
        <v>57</v>
      </c>
      <c r="G6" s="72"/>
    </row>
    <row r="7" spans="1:11" ht="41.25" customHeight="1">
      <c r="A7" s="9" t="s">
        <v>369</v>
      </c>
      <c r="B7" s="7">
        <v>8</v>
      </c>
      <c r="C7" s="7">
        <v>14</v>
      </c>
      <c r="D7" s="7">
        <v>16</v>
      </c>
      <c r="E7" s="42">
        <v>18</v>
      </c>
      <c r="F7" s="229">
        <v>13</v>
      </c>
      <c r="G7" s="72"/>
      <c r="H7" s="230"/>
      <c r="I7" s="348"/>
      <c r="J7" s="348"/>
      <c r="K7" s="348"/>
    </row>
    <row r="8" spans="1:8" ht="36.75" customHeight="1">
      <c r="A8" s="9" t="s">
        <v>456</v>
      </c>
      <c r="B8" s="7">
        <v>22.2</v>
      </c>
      <c r="C8" s="7">
        <v>25.5</v>
      </c>
      <c r="D8" s="42">
        <v>26.1</v>
      </c>
      <c r="E8" s="42">
        <v>27.4</v>
      </c>
      <c r="F8" s="42">
        <v>26.32</v>
      </c>
      <c r="G8" s="73"/>
      <c r="H8" s="60"/>
    </row>
    <row r="9" spans="1:7" ht="39.75" customHeight="1">
      <c r="A9" s="9" t="s">
        <v>457</v>
      </c>
      <c r="B9" s="7">
        <v>8.8</v>
      </c>
      <c r="C9" s="7">
        <v>8.8</v>
      </c>
      <c r="D9" s="42">
        <v>13.1</v>
      </c>
      <c r="E9" s="42">
        <v>13.1</v>
      </c>
      <c r="F9" s="42">
        <v>15.1</v>
      </c>
      <c r="G9" s="73"/>
    </row>
    <row r="10" spans="1:9" ht="40.5" customHeight="1">
      <c r="A10" s="40" t="s">
        <v>458</v>
      </c>
      <c r="B10" s="42">
        <v>4.6</v>
      </c>
      <c r="C10" s="42">
        <v>4.6</v>
      </c>
      <c r="D10" s="42">
        <v>4.6</v>
      </c>
      <c r="E10" s="42">
        <v>4.6</v>
      </c>
      <c r="F10" s="42">
        <v>4.6</v>
      </c>
      <c r="G10" s="73"/>
      <c r="I10" s="60"/>
    </row>
    <row r="11" spans="1:7" ht="21.75" customHeight="1">
      <c r="A11" s="309" t="s">
        <v>101</v>
      </c>
      <c r="B11" s="309"/>
      <c r="C11" s="309"/>
      <c r="D11" s="309"/>
      <c r="E11" s="309"/>
      <c r="F11" s="309"/>
      <c r="G11" s="121"/>
    </row>
    <row r="12" ht="12.75">
      <c r="A12" s="2"/>
    </row>
    <row r="13" spans="1:7" ht="36.75" customHeight="1">
      <c r="A13" s="5" t="s">
        <v>260</v>
      </c>
      <c r="B13" s="5" t="s">
        <v>261</v>
      </c>
      <c r="C13" s="5" t="s">
        <v>262</v>
      </c>
      <c r="D13" s="5" t="s">
        <v>259</v>
      </c>
      <c r="E13" s="6" t="s">
        <v>373</v>
      </c>
      <c r="F13" s="74"/>
      <c r="G13" s="74"/>
    </row>
    <row r="14" spans="1:7" ht="23.25" customHeight="1">
      <c r="A14" s="357" t="s">
        <v>27</v>
      </c>
      <c r="B14" s="3" t="s">
        <v>150</v>
      </c>
      <c r="C14" s="4">
        <v>1</v>
      </c>
      <c r="D14" s="4">
        <v>5</v>
      </c>
      <c r="E14" s="19">
        <v>5</v>
      </c>
      <c r="F14" s="85"/>
      <c r="G14" s="85"/>
    </row>
    <row r="15" spans="1:7" ht="29.25" customHeight="1">
      <c r="A15" s="358"/>
      <c r="B15" s="3" t="s">
        <v>151</v>
      </c>
      <c r="C15" s="4">
        <v>0</v>
      </c>
      <c r="D15" s="4"/>
      <c r="E15" s="19"/>
      <c r="F15" s="85"/>
      <c r="G15" s="85"/>
    </row>
    <row r="16" spans="1:7" ht="24" customHeight="1">
      <c r="A16" s="357" t="s">
        <v>28</v>
      </c>
      <c r="B16" s="3" t="s">
        <v>150</v>
      </c>
      <c r="C16" s="4">
        <v>1</v>
      </c>
      <c r="D16" s="4">
        <v>5</v>
      </c>
      <c r="E16" s="19">
        <v>5</v>
      </c>
      <c r="F16" s="85"/>
      <c r="G16" s="85"/>
    </row>
    <row r="17" spans="1:7" ht="39" customHeight="1">
      <c r="A17" s="358"/>
      <c r="B17" s="3" t="s">
        <v>151</v>
      </c>
      <c r="C17" s="4">
        <v>0</v>
      </c>
      <c r="D17" s="4"/>
      <c r="E17" s="19"/>
      <c r="F17" s="85"/>
      <c r="G17" s="85"/>
    </row>
    <row r="18" spans="1:7" ht="25.5" customHeight="1">
      <c r="A18" s="357" t="s">
        <v>29</v>
      </c>
      <c r="B18" s="3" t="s">
        <v>150</v>
      </c>
      <c r="C18" s="4">
        <v>1</v>
      </c>
      <c r="D18" s="4">
        <v>5</v>
      </c>
      <c r="E18" s="19">
        <v>5</v>
      </c>
      <c r="F18" s="85"/>
      <c r="G18" s="85"/>
    </row>
    <row r="19" spans="1:7" ht="56.25" customHeight="1">
      <c r="A19" s="358"/>
      <c r="B19" s="3" t="s">
        <v>151</v>
      </c>
      <c r="C19" s="4">
        <v>0</v>
      </c>
      <c r="D19" s="4"/>
      <c r="E19" s="17"/>
      <c r="F19" s="43"/>
      <c r="G19" s="43"/>
    </row>
    <row r="20" spans="1:7" ht="52.5" customHeight="1">
      <c r="A20" s="3" t="s">
        <v>30</v>
      </c>
      <c r="B20" s="82" t="s">
        <v>31</v>
      </c>
      <c r="C20" s="4">
        <v>0.921</v>
      </c>
      <c r="D20" s="4">
        <v>20</v>
      </c>
      <c r="E20" s="27">
        <f>D20*0.921</f>
        <v>18.42</v>
      </c>
      <c r="F20" s="119"/>
      <c r="G20" s="119"/>
    </row>
    <row r="21" spans="1:7" ht="17.25" customHeight="1">
      <c r="A21" s="353" t="s">
        <v>153</v>
      </c>
      <c r="B21" s="354"/>
      <c r="C21" s="354"/>
      <c r="D21" s="354"/>
      <c r="E21" s="354"/>
      <c r="F21" s="61"/>
      <c r="G21" s="61"/>
    </row>
    <row r="22" spans="1:7" ht="20.25" customHeight="1">
      <c r="A22" s="355" t="s">
        <v>154</v>
      </c>
      <c r="B22" s="356"/>
      <c r="C22" s="356"/>
      <c r="D22" s="356"/>
      <c r="E22" s="356"/>
      <c r="F22" s="118"/>
      <c r="G22" s="118"/>
    </row>
    <row r="23" spans="1:11" ht="68.25">
      <c r="A23" s="3" t="s">
        <v>32</v>
      </c>
      <c r="B23" s="82" t="s">
        <v>33</v>
      </c>
      <c r="C23" s="4" t="s">
        <v>62</v>
      </c>
      <c r="D23" s="4">
        <v>10</v>
      </c>
      <c r="E23" s="19">
        <f>D23*0.047</f>
        <v>0.47</v>
      </c>
      <c r="F23" s="85"/>
      <c r="G23" s="85"/>
      <c r="H23" s="332"/>
      <c r="I23" s="332"/>
      <c r="J23" s="332"/>
      <c r="K23" s="232"/>
    </row>
    <row r="24" spans="1:10" ht="68.25" customHeight="1">
      <c r="A24" s="3" t="s">
        <v>34</v>
      </c>
      <c r="B24" s="82" t="s">
        <v>35</v>
      </c>
      <c r="C24" s="4" t="s">
        <v>377</v>
      </c>
      <c r="D24" s="4" t="s">
        <v>370</v>
      </c>
      <c r="E24" s="19">
        <v>0</v>
      </c>
      <c r="F24" s="85"/>
      <c r="G24" s="85"/>
      <c r="H24" s="331"/>
      <c r="I24" s="331"/>
      <c r="J24" s="331"/>
    </row>
    <row r="25" spans="1:7" ht="12.75" customHeight="1">
      <c r="A25" s="355" t="s">
        <v>36</v>
      </c>
      <c r="B25" s="356"/>
      <c r="C25" s="356"/>
      <c r="D25" s="356"/>
      <c r="E25" s="356"/>
      <c r="F25" s="118"/>
      <c r="G25" s="118"/>
    </row>
    <row r="26" spans="1:11" ht="71.25" customHeight="1">
      <c r="A26" s="3" t="s">
        <v>37</v>
      </c>
      <c r="B26" s="82" t="s">
        <v>35</v>
      </c>
      <c r="C26" s="4" t="s">
        <v>58</v>
      </c>
      <c r="D26" s="4">
        <v>5</v>
      </c>
      <c r="E26" s="19">
        <f>D26*0.36</f>
        <v>1.7999999999999998</v>
      </c>
      <c r="F26" s="85"/>
      <c r="G26" s="85"/>
      <c r="H26" s="352"/>
      <c r="I26" s="352"/>
      <c r="J26" s="352"/>
      <c r="K26" s="231"/>
    </row>
    <row r="27" spans="1:11" ht="66" customHeight="1">
      <c r="A27" s="55" t="s">
        <v>38</v>
      </c>
      <c r="B27" s="120" t="s">
        <v>35</v>
      </c>
      <c r="C27" s="62" t="s">
        <v>63</v>
      </c>
      <c r="D27" s="62">
        <v>5</v>
      </c>
      <c r="E27" s="19">
        <f>D27*0.9</f>
        <v>4.5</v>
      </c>
      <c r="F27" s="85"/>
      <c r="G27" s="85"/>
      <c r="H27" s="332"/>
      <c r="I27" s="332"/>
      <c r="J27" s="332"/>
      <c r="K27" s="146"/>
    </row>
    <row r="28" spans="1:7" ht="27.75" customHeight="1">
      <c r="A28" s="353" t="s">
        <v>39</v>
      </c>
      <c r="B28" s="354"/>
      <c r="C28" s="354"/>
      <c r="D28" s="354"/>
      <c r="E28" s="354"/>
      <c r="F28" s="61"/>
      <c r="G28" s="61"/>
    </row>
    <row r="29" spans="1:7" ht="26.25" customHeight="1">
      <c r="A29" s="355" t="s">
        <v>40</v>
      </c>
      <c r="B29" s="356"/>
      <c r="C29" s="356"/>
      <c r="D29" s="356"/>
      <c r="E29" s="356"/>
      <c r="F29" s="61"/>
      <c r="G29" s="61"/>
    </row>
    <row r="30" spans="1:10" ht="56.25" customHeight="1">
      <c r="A30" s="3" t="s">
        <v>41</v>
      </c>
      <c r="B30" s="82" t="s">
        <v>348</v>
      </c>
      <c r="C30" s="4" t="s">
        <v>60</v>
      </c>
      <c r="D30" s="4">
        <v>5</v>
      </c>
      <c r="E30" s="27">
        <f>D30*0.941</f>
        <v>4.705</v>
      </c>
      <c r="F30" s="86"/>
      <c r="G30" s="86"/>
      <c r="H30" s="144"/>
      <c r="I30" s="332"/>
      <c r="J30" s="332"/>
    </row>
    <row r="31" spans="1:8" ht="48.75">
      <c r="A31" s="3" t="s">
        <v>349</v>
      </c>
      <c r="B31" s="82" t="s">
        <v>348</v>
      </c>
      <c r="C31" s="4" t="s">
        <v>59</v>
      </c>
      <c r="D31" s="4">
        <v>5</v>
      </c>
      <c r="E31" s="27">
        <f>D31*0.972</f>
        <v>4.859999999999999</v>
      </c>
      <c r="F31" s="86"/>
      <c r="G31" s="86"/>
      <c r="H31" s="144"/>
    </row>
    <row r="32" spans="1:7" ht="27" customHeight="1">
      <c r="A32" s="325" t="s">
        <v>350</v>
      </c>
      <c r="B32" s="326"/>
      <c r="C32" s="326"/>
      <c r="D32" s="326"/>
      <c r="E32" s="326"/>
      <c r="F32" s="118"/>
      <c r="G32" s="118"/>
    </row>
    <row r="33" spans="1:8" ht="49.5" customHeight="1">
      <c r="A33" s="3" t="s">
        <v>351</v>
      </c>
      <c r="B33" s="82" t="s">
        <v>348</v>
      </c>
      <c r="C33" s="4" t="s">
        <v>6</v>
      </c>
      <c r="D33" s="4">
        <v>10</v>
      </c>
      <c r="E33" s="27">
        <f>D33*1</f>
        <v>10</v>
      </c>
      <c r="F33" s="86"/>
      <c r="G33" s="86"/>
      <c r="H33" s="64"/>
    </row>
    <row r="34" spans="1:7" ht="51.75" customHeight="1">
      <c r="A34" s="3" t="s">
        <v>352</v>
      </c>
      <c r="B34" s="82" t="s">
        <v>348</v>
      </c>
      <c r="C34" s="4" t="s">
        <v>152</v>
      </c>
      <c r="D34" s="4"/>
      <c r="E34" s="6" t="s">
        <v>370</v>
      </c>
      <c r="F34" s="74"/>
      <c r="G34" s="74"/>
    </row>
    <row r="35" spans="1:8" ht="51">
      <c r="A35" s="3" t="s">
        <v>353</v>
      </c>
      <c r="B35" s="82" t="s">
        <v>348</v>
      </c>
      <c r="C35" s="4" t="s">
        <v>61</v>
      </c>
      <c r="D35" s="4">
        <v>5</v>
      </c>
      <c r="E35" s="46">
        <f>D35*0.058</f>
        <v>0.29000000000000004</v>
      </c>
      <c r="F35" s="86"/>
      <c r="G35" s="86"/>
      <c r="H35" s="144"/>
    </row>
    <row r="36" spans="1:7" ht="54" customHeight="1">
      <c r="A36" s="3" t="s">
        <v>354</v>
      </c>
      <c r="B36" s="82" t="s">
        <v>348</v>
      </c>
      <c r="C36" s="4" t="s">
        <v>152</v>
      </c>
      <c r="D36" s="4"/>
      <c r="E36" s="6" t="s">
        <v>370</v>
      </c>
      <c r="F36" s="74"/>
      <c r="G36" s="74"/>
    </row>
    <row r="37" spans="1:7" ht="39">
      <c r="A37" s="3" t="s">
        <v>355</v>
      </c>
      <c r="B37" s="82" t="s">
        <v>356</v>
      </c>
      <c r="C37" s="4" t="s">
        <v>152</v>
      </c>
      <c r="D37" s="4"/>
      <c r="E37" s="6" t="s">
        <v>370</v>
      </c>
      <c r="F37" s="74"/>
      <c r="G37" s="74"/>
    </row>
    <row r="38" spans="1:7" ht="12.75">
      <c r="A38" s="24" t="s">
        <v>374</v>
      </c>
      <c r="B38" s="24"/>
      <c r="C38" s="31"/>
      <c r="D38" s="20">
        <f>D37+D36+D35+D34+D33+D31+D30+D27+D26+D23+D20+D18+D16++D14</f>
        <v>80</v>
      </c>
      <c r="E38" s="233">
        <f>E35+E33+E31+E30+E27+E26+E23+E20+E18+E16++E14</f>
        <v>60.045</v>
      </c>
      <c r="F38" s="52">
        <f>E38/D38*100</f>
        <v>75.05625</v>
      </c>
      <c r="G38" s="52"/>
    </row>
    <row r="39" spans="1:7" ht="12.75">
      <c r="A39" s="66"/>
      <c r="B39" s="66"/>
      <c r="C39" s="61"/>
      <c r="D39" s="26"/>
      <c r="E39" s="52"/>
      <c r="F39" s="52"/>
      <c r="G39" s="52"/>
    </row>
    <row r="40" spans="1:7" ht="12.75">
      <c r="A40" s="66" t="s">
        <v>26</v>
      </c>
      <c r="B40" s="66"/>
      <c r="C40" s="61"/>
      <c r="D40" s="26"/>
      <c r="E40" s="52"/>
      <c r="F40" s="52"/>
      <c r="G40" s="52"/>
    </row>
    <row r="41" spans="1:7" ht="179.25" customHeight="1">
      <c r="A41" s="288" t="s">
        <v>347</v>
      </c>
      <c r="B41" s="288"/>
      <c r="C41" s="288"/>
      <c r="D41" s="288"/>
      <c r="E41" s="288"/>
      <c r="F41" s="45"/>
      <c r="G41" s="45"/>
    </row>
    <row r="42" ht="12.75">
      <c r="A42" s="2"/>
    </row>
    <row r="43" spans="1:5" ht="28.5" customHeight="1">
      <c r="A43" s="22" t="s">
        <v>53</v>
      </c>
      <c r="E43" s="1" t="s">
        <v>84</v>
      </c>
    </row>
    <row r="44" ht="28.5" customHeight="1">
      <c r="A44" s="22"/>
    </row>
    <row r="45" spans="1:6" ht="28.5" customHeight="1">
      <c r="A45" s="79"/>
      <c r="F45" s="95"/>
    </row>
    <row r="47" ht="15" customHeight="1"/>
  </sheetData>
  <mergeCells count="20">
    <mergeCell ref="A41:E41"/>
    <mergeCell ref="A1:D1"/>
    <mergeCell ref="A18:A19"/>
    <mergeCell ref="A25:E25"/>
    <mergeCell ref="A21:E21"/>
    <mergeCell ref="A22:E22"/>
    <mergeCell ref="A2:D2"/>
    <mergeCell ref="A14:A15"/>
    <mergeCell ref="A16:A17"/>
    <mergeCell ref="A11:F11"/>
    <mergeCell ref="I30:J30"/>
    <mergeCell ref="I7:K7"/>
    <mergeCell ref="C5:F5"/>
    <mergeCell ref="A32:E32"/>
    <mergeCell ref="H26:J26"/>
    <mergeCell ref="A28:E28"/>
    <mergeCell ref="A29:E29"/>
    <mergeCell ref="H27:J27"/>
    <mergeCell ref="H23:J23"/>
    <mergeCell ref="H24:J24"/>
  </mergeCells>
  <printOptions/>
  <pageMargins left="0.5905511811023623" right="0.1968503937007874" top="0.3937007874015748" bottom="0.1968503937007874" header="0.5118110236220472" footer="0.5118110236220472"/>
  <pageSetup fitToHeight="2" fitToWidth="2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Ванеканева</cp:lastModifiedBy>
  <cp:lastPrinted>2013-06-17T07:05:47Z</cp:lastPrinted>
  <dcterms:created xsi:type="dcterms:W3CDTF">2010-01-26T14:02:02Z</dcterms:created>
  <dcterms:modified xsi:type="dcterms:W3CDTF">2013-07-18T11:32:13Z</dcterms:modified>
  <cp:category/>
  <cp:version/>
  <cp:contentType/>
  <cp:contentStatus/>
</cp:coreProperties>
</file>